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580" windowHeight="4875" tabRatio="687" activeTab="1"/>
  </bookViews>
  <sheets>
    <sheet name="Distributors" sheetId="1" r:id="rId1"/>
    <sheet name="WishList" sheetId="2" r:id="rId2"/>
    <sheet name="Equipment" sheetId="3" r:id="rId3"/>
    <sheet name="Keg Parts" sheetId="4" r:id="rId4"/>
    <sheet name="Tubing" sheetId="5" r:id="rId5"/>
    <sheet name="Recipies" sheetId="6" r:id="rId6"/>
    <sheet name="Ingredients" sheetId="7" r:id="rId7"/>
    <sheet name="Conversion Table" sheetId="8" r:id="rId8"/>
    <sheet name="Template 2.0" sheetId="9" r:id="rId9"/>
    <sheet name="Template" sheetId="10" r:id="rId10"/>
    <sheet name="byorec" sheetId="11" r:id="rId11"/>
  </sheets>
  <definedNames>
    <definedName name="Cup">'Conversion Table'!$G$13:$G$21</definedName>
    <definedName name="CupToFLOZ">'Conversion Table'!$J$2</definedName>
    <definedName name="CupTomL">'Conversion Table'!$J$3</definedName>
    <definedName name="CupToTbl">'Conversion Table'!$J$8</definedName>
    <definedName name="Floz">'Conversion Table'!$H$13:$H$21</definedName>
    <definedName name="Gal">'Conversion Table'!$C$14:$C$22</definedName>
    <definedName name="GalToL">'Conversion Table'!$J$9</definedName>
    <definedName name="GalToQt">'Conversion Table'!$J$5</definedName>
    <definedName name="L">'Conversion Table'!$D$13:$D$21</definedName>
    <definedName name="Liter">'Conversion Table'!$D$13:$D$21</definedName>
    <definedName name="LTomL">'Conversion Table'!$J$10</definedName>
    <definedName name="mL">'Conversion Table'!$K$13:$K$21</definedName>
    <definedName name="Pint">'Conversion Table'!$F$13:$F$21</definedName>
    <definedName name="_xlnm.Print_Area" localSheetId="7">'Conversion Table'!$A$1:$M$38</definedName>
    <definedName name="_xlnm.Print_Area" localSheetId="2">'Equipment'!$A$1:$K$78</definedName>
    <definedName name="_xlnm.Print_Area" localSheetId="6">'Ingredients'!$A$1:$F$2</definedName>
    <definedName name="_xlnm.Print_Area" localSheetId="9">'Template'!$A$1:$M$47</definedName>
    <definedName name="_xlnm.Print_Area" localSheetId="8">'Template 2.0'!$A$1:$J$43</definedName>
    <definedName name="_xlnm.Print_Area" localSheetId="4">'Tubing'!$A$1:$F$23</definedName>
    <definedName name="_xlnm.Print_Area" localSheetId="1">'WishList'!$B$1:$F$60</definedName>
    <definedName name="Qt">'Conversion Table'!$E$13:$E$21</definedName>
    <definedName name="QtToCup">'Conversion Table'!$J$4</definedName>
    <definedName name="QtToPint">'Conversion Table'!$J$6</definedName>
    <definedName name="Tbl">'Conversion Table'!$I$13:$I$21</definedName>
    <definedName name="TblToTsp">'Conversion Table'!$J$7</definedName>
    <definedName name="ToCup">'Conversion Table'!$B$18:$J$18</definedName>
    <definedName name="ToFloz">'Conversion Table'!$B$19:$J$19</definedName>
    <definedName name="ToGal">'Conversion Table'!$B$14:$J$14</definedName>
    <definedName name="ToL">'Conversion Table'!$B$15:$J$15</definedName>
    <definedName name="TomL">'Conversion Table'!$B$22:$J$22</definedName>
    <definedName name="ToPint">'Conversion Table'!$B$17:$J$17</definedName>
    <definedName name="ToQt">'Conversion Table'!$B$16:$J$16</definedName>
    <definedName name="ToTbl">'Conversion Table'!$B$20:$J$20</definedName>
    <definedName name="ToTsp">'Conversion Table'!$B$21:$J$21</definedName>
    <definedName name="Tsp">'Conversion Table'!$J$13:$J$21</definedName>
  </definedNames>
  <calcPr fullCalcOnLoad="1"/>
</workbook>
</file>

<file path=xl/sharedStrings.xml><?xml version="1.0" encoding="utf-8"?>
<sst xmlns="http://schemas.openxmlformats.org/spreadsheetml/2006/main" count="1184" uniqueCount="731">
  <si>
    <t>http://www.mrbeer.com/</t>
  </si>
  <si>
    <t>2 Gallon</t>
  </si>
  <si>
    <t>Mix</t>
  </si>
  <si>
    <t>Carb</t>
  </si>
  <si>
    <t>Mix Date</t>
  </si>
  <si>
    <t>Bottle Date</t>
  </si>
  <si>
    <t>Notes</t>
  </si>
  <si>
    <t>Yeast</t>
  </si>
  <si>
    <t>Refrige</t>
  </si>
  <si>
    <t>Open</t>
  </si>
  <si>
    <t>Taste</t>
  </si>
  <si>
    <t>Remove</t>
  </si>
  <si>
    <t>Day 1</t>
  </si>
  <si>
    <t>Condition</t>
  </si>
  <si>
    <t>Bottling</t>
  </si>
  <si>
    <t>Bottles</t>
  </si>
  <si>
    <t>One-Step</t>
  </si>
  <si>
    <t>Bottle Order</t>
  </si>
  <si>
    <t>http://store.mrbeer.com/bewredale3.html</t>
  </si>
  <si>
    <t>Bewitched Red Ale</t>
  </si>
  <si>
    <t>http://store.mrbeer.com/ennutbrowale5.html</t>
  </si>
  <si>
    <t>Englishman's Nut Brown Ale</t>
  </si>
  <si>
    <t>http://store.mrbeer.com/okvienlag3.html</t>
  </si>
  <si>
    <t>Octoberfest's Vienna Lager</t>
  </si>
  <si>
    <t>http://store.mrbeer.com/wescoaspalal4.html</t>
  </si>
  <si>
    <t>West Coast Pale Ale</t>
  </si>
  <si>
    <t>http://store.mrbeer.com/whiswheatwie1.html</t>
  </si>
  <si>
    <t>Whispering Wheat Weizenbier</t>
  </si>
  <si>
    <t>http://store.mrbeer.com/creamybrown2.html</t>
  </si>
  <si>
    <t>Creamy Brown UME</t>
  </si>
  <si>
    <t>Unhopped Malt Extracts</t>
  </si>
  <si>
    <t>Beer Mixes</t>
  </si>
  <si>
    <t>http://store.mrbeer.com/goldenwheat.html</t>
  </si>
  <si>
    <t>Golden Wheat UME</t>
  </si>
  <si>
    <t>http://store.mrbeer.com/stwioast.html</t>
  </si>
  <si>
    <t>Stickey Wicket Oatmeal Stout</t>
  </si>
  <si>
    <t>Archer's Orchard Hard Cider</t>
  </si>
  <si>
    <t>http://store.mrbeer.com/hardciderpage.html</t>
  </si>
  <si>
    <t>Size</t>
  </si>
  <si>
    <t>Size (lb)</t>
  </si>
  <si>
    <t>6.5 Gal</t>
  </si>
  <si>
    <t>Primary Fermenter</t>
  </si>
  <si>
    <t>What</t>
  </si>
  <si>
    <t>5 gal</t>
  </si>
  <si>
    <t>Bottle Brush</t>
  </si>
  <si>
    <t>Plain Light Malt Extract</t>
  </si>
  <si>
    <t>Crushed Crystal Malt</t>
  </si>
  <si>
    <t>Crushed Victory</t>
  </si>
  <si>
    <t>Northern Brewer Hops</t>
  </si>
  <si>
    <t>Bittering</t>
  </si>
  <si>
    <t>Cascade Hops</t>
  </si>
  <si>
    <t>Finishing</t>
  </si>
  <si>
    <t>Fine Priming Sugar</t>
  </si>
  <si>
    <t>Beer Yeast</t>
  </si>
  <si>
    <t>Raw Malts &amp; Sugars</t>
  </si>
  <si>
    <t>http://bluestemwine.com/Merchant2/merchant.mvc?Screen=CTGY&amp;Category_Code=DAKDRYBYT</t>
  </si>
  <si>
    <t>Price</t>
  </si>
  <si>
    <t>Hops</t>
  </si>
  <si>
    <t>Saaz Hops</t>
  </si>
  <si>
    <t>http://bluestemwine.com/Merchant2/merchant.mvc?Screen=PROD&amp;Product_Code=07-20802&amp;Category_Code=DCKPELLET</t>
  </si>
  <si>
    <t>http://bluestemwine.com/Merchant2/merchant.mvc?Screen=PROD&amp;Product_Code=07-20652&amp;Category_Code=DCKPELLET</t>
  </si>
  <si>
    <t>http://bluestemwine.com/Merchant2/merchant.mvc?Screen=PROD&amp;Product_Code=07-16620&amp;Category_Code=DDSMUNTON</t>
  </si>
  <si>
    <t>Link</t>
  </si>
  <si>
    <t>http://bluestemwine.com/Merchant2/merchant.mvc?Screen=PROD&amp;Product_Code=03-47950&amp;Category_Code=DMVWASHER</t>
  </si>
  <si>
    <t>Fermtech Double Blast Bottle Washer</t>
  </si>
  <si>
    <t xml:space="preserve">Fermtech Single Blast Bottle Washer </t>
  </si>
  <si>
    <t>http://bluestemwine.com/Merchant2/merchant.mvc?Screen=PROD&amp;Product_Code=03-47960&amp;Category_Code=DMVWASHER</t>
  </si>
  <si>
    <t>Can Opener</t>
  </si>
  <si>
    <t>Metal Spigot for Brew Pot</t>
  </si>
  <si>
    <t>Metal Spoon</t>
  </si>
  <si>
    <t>http://bluestemwine.com/Merchant2/merchant.mvc?Screen=PROD&amp;Product_Code=03-45760&amp;Category_Code=DLTLABELP</t>
  </si>
  <si>
    <t>108 Bottles</t>
  </si>
  <si>
    <t>Alla Floating Thermometer</t>
  </si>
  <si>
    <t>0-220F</t>
  </si>
  <si>
    <t>http://bluestemwine.com/Merchant2/merchant.mvc?Screen=PROD&amp;Product_Code=03-54320&amp;Category_Code=CRVTESTNG</t>
  </si>
  <si>
    <t xml:space="preserve">Fermtech Wine Thief </t>
  </si>
  <si>
    <t>http://bluestemwine.com/Merchant2/merchant.mvc?Screen=PROD&amp;Product_Code=08-54160&amp;Category_Code=CRVTESTNG</t>
  </si>
  <si>
    <t>pH Test Strips, Beermaking Range</t>
  </si>
  <si>
    <t>100x 4.6-6.2</t>
  </si>
  <si>
    <t>http://bluestemwine.com/Merchant2/merchant.mvc?Screen=PROD&amp;Product_Code=06-10370&amp;Category_Code=CFJBBKITS</t>
  </si>
  <si>
    <t>India Pale Ale</t>
  </si>
  <si>
    <t>Carboy Brush</t>
  </si>
  <si>
    <t>Amount</t>
  </si>
  <si>
    <t>Secondary Fermenter</t>
  </si>
  <si>
    <t>Bottle Size</t>
  </si>
  <si>
    <t>Primer Amount</t>
  </si>
  <si>
    <t>Day   Condition-&gt;</t>
  </si>
  <si>
    <t>Primer Type</t>
  </si>
  <si>
    <t>Bottle Number</t>
  </si>
  <si>
    <t>Brewing Sanitizer</t>
  </si>
  <si>
    <t>Ingredients</t>
  </si>
  <si>
    <t>CupTomL</t>
  </si>
  <si>
    <t>GalToL</t>
  </si>
  <si>
    <t>GalToQt</t>
  </si>
  <si>
    <t>MultiplyBy</t>
  </si>
  <si>
    <t>From</t>
  </si>
  <si>
    <t>To</t>
  </si>
  <si>
    <t>Multiply By</t>
  </si>
  <si>
    <t>Cup</t>
  </si>
  <si>
    <t>mL</t>
  </si>
  <si>
    <t>L</t>
  </si>
  <si>
    <t>LTomL</t>
  </si>
  <si>
    <t>Gal</t>
  </si>
  <si>
    <t>Qt</t>
  </si>
  <si>
    <t>QtToCup</t>
  </si>
  <si>
    <t># of Bottles</t>
  </si>
  <si>
    <t>oz</t>
  </si>
  <si>
    <t>Floz</t>
  </si>
  <si>
    <t>PET</t>
  </si>
  <si>
    <t>Flip</t>
  </si>
  <si>
    <t>MrBeer</t>
  </si>
  <si>
    <t>QuickMeas</t>
  </si>
  <si>
    <t>Kit</t>
  </si>
  <si>
    <t>Tbl</t>
  </si>
  <si>
    <t>tsp</t>
  </si>
  <si>
    <t>Pint</t>
  </si>
  <si>
    <t>QtToPint</t>
  </si>
  <si>
    <t>TblToTsp</t>
  </si>
  <si>
    <t>CupToTbl</t>
  </si>
  <si>
    <t>PrmSugar (tsp)</t>
  </si>
  <si>
    <t>PrmSugar (floz)</t>
  </si>
  <si>
    <t>PrmSugar (Tbl)</t>
  </si>
  <si>
    <t>Small</t>
  </si>
  <si>
    <t>Large</t>
  </si>
  <si>
    <t>Sm+Lrg</t>
  </si>
  <si>
    <t>AJ</t>
  </si>
  <si>
    <t>12oz</t>
  </si>
  <si>
    <t>L/Qt</t>
  </si>
  <si>
    <t>Funnel w/ Filter</t>
  </si>
  <si>
    <t>quickmeasure (1tsp, 1.5tsp)</t>
  </si>
  <si>
    <t>Hop Scale -1.5oz</t>
  </si>
  <si>
    <t>Measure 1/2tsp - 1Tbsp</t>
  </si>
  <si>
    <t>1 Cup Pouch of One-Step</t>
  </si>
  <si>
    <t>1L (34floz)</t>
  </si>
  <si>
    <t>Flip Top Glass</t>
  </si>
  <si>
    <t>16 floz</t>
  </si>
  <si>
    <t>PET New Caps</t>
  </si>
  <si>
    <t>UHME</t>
  </si>
  <si>
    <t>lbm</t>
  </si>
  <si>
    <t>gm</t>
  </si>
  <si>
    <t>floz</t>
  </si>
  <si>
    <t>Can/Pkg</t>
  </si>
  <si>
    <t>Booster (Dextrose)</t>
  </si>
  <si>
    <t>Cane Sugar</t>
  </si>
  <si>
    <t>AlePail</t>
  </si>
  <si>
    <t>Sanitizer Equiv</t>
  </si>
  <si>
    <t>Sugar Equiv</t>
  </si>
  <si>
    <t>Alcohol (%)</t>
  </si>
  <si>
    <t>Bleach</t>
  </si>
  <si>
    <t>Iodine</t>
  </si>
  <si>
    <t>Pkg Size</t>
  </si>
  <si>
    <t>Per Gal</t>
  </si>
  <si>
    <t>1/2 Pkg</t>
  </si>
  <si>
    <t>Rinse?</t>
  </si>
  <si>
    <t>No</t>
  </si>
  <si>
    <t>Yes</t>
  </si>
  <si>
    <t>Yes?</t>
  </si>
  <si>
    <t>CupToFloz</t>
  </si>
  <si>
    <t>Unit Conversion</t>
  </si>
  <si>
    <t>AbV (%)</t>
  </si>
  <si>
    <t>Start Gravity</t>
  </si>
  <si>
    <t>Hop IBU</t>
  </si>
  <si>
    <t>Final Gravity</t>
  </si>
  <si>
    <t>Bottler Container</t>
  </si>
  <si>
    <t>Amt / Size</t>
  </si>
  <si>
    <t>Fermentation</t>
  </si>
  <si>
    <t>Brew Name</t>
  </si>
  <si>
    <t>Bottles Used</t>
  </si>
  <si>
    <t>Sanitizer Used</t>
  </si>
  <si>
    <t>Water Source</t>
  </si>
  <si>
    <t>Misc Notes</t>
  </si>
  <si>
    <t>Fermention</t>
  </si>
  <si>
    <t>Time</t>
  </si>
  <si>
    <t>Day</t>
  </si>
  <si>
    <t>Temp (F)</t>
  </si>
  <si>
    <t>Hops &amp; Spices</t>
  </si>
  <si>
    <t>Ebay "Beer &amp; Winemaking"</t>
  </si>
  <si>
    <t>http://listings.ebay.com/Food-Wine_Beer-Wine-Making_W0QQcatrefZC4QQfromZR9QQfromZR9QQfsooZ1QQfsopZ1QQftrtZ1QQftrvZ1QQsacatZ38172QQsocmdZListingItemListQQsojsZ1</t>
  </si>
  <si>
    <t>Beer &amp; Winemaking</t>
  </si>
  <si>
    <t>Mr Beer</t>
  </si>
  <si>
    <t>Simple Beer Making Equip, Ingred, &amp; Kits</t>
  </si>
  <si>
    <t>Beer &amp; Winemaking Equip &amp; Ingred</t>
  </si>
  <si>
    <t>BlueStem Winery &amp; Artisan Mall</t>
  </si>
  <si>
    <t>http://bluestemwine.com/Merchant2/merchant.mvc?Screen=PROD&amp;Product_Code=08-50080&amp;Category_Code=CNJBACCES</t>
  </si>
  <si>
    <t>Brewing Belt</t>
  </si>
  <si>
    <t>75 degF</t>
  </si>
  <si>
    <t>Primary Mix</t>
  </si>
  <si>
    <t>Hopps</t>
  </si>
  <si>
    <t>Amt</t>
  </si>
  <si>
    <t>Other</t>
  </si>
  <si>
    <t>Recipe#</t>
  </si>
  <si>
    <t>Carb1</t>
  </si>
  <si>
    <t>Carb2</t>
  </si>
  <si>
    <t>Instructions</t>
  </si>
  <si>
    <t>http://www.homebrewmart.com/</t>
  </si>
  <si>
    <t>Home Brew Mart</t>
  </si>
  <si>
    <t>Perfect Brewing Supply</t>
  </si>
  <si>
    <t>Bottle Caps</t>
  </si>
  <si>
    <t>Other Ingredients</t>
  </si>
  <si>
    <t>Fruit - Red Tart Cherries</t>
  </si>
  <si>
    <t>Booster - Dextrin</t>
  </si>
  <si>
    <t>2 cups</t>
  </si>
  <si>
    <t>Stock</t>
  </si>
  <si>
    <t>1 oz</t>
  </si>
  <si>
    <t>Tettnager Hops</t>
  </si>
  <si>
    <t>Liberty Hops</t>
  </si>
  <si>
    <t>Hallertauer Hops</t>
  </si>
  <si>
    <t>Centennial Hops</t>
  </si>
  <si>
    <t>Fuggle Hops</t>
  </si>
  <si>
    <t>Willamette Hops</t>
  </si>
  <si>
    <t>Superior Lager Yeast</t>
  </si>
  <si>
    <t>Liquid Yeast</t>
  </si>
  <si>
    <t>Beer Kits</t>
  </si>
  <si>
    <t>12 oz</t>
  </si>
  <si>
    <t>Pale Export UME</t>
  </si>
  <si>
    <t>Date First Used</t>
  </si>
  <si>
    <t>Long Liquid Crystal Thermometer</t>
  </si>
  <si>
    <t>Short Liquid Crystal Thermometer</t>
  </si>
  <si>
    <t>http://www.morebeer.com/browse.html?category_id=2440&amp;keyword=&amp;x=1&amp;y=1</t>
  </si>
  <si>
    <t>Semi Professional Equip</t>
  </si>
  <si>
    <t>Solid Carboy Cap</t>
  </si>
  <si>
    <t>Future</t>
  </si>
  <si>
    <t>http://www.austinhomebrew.com/</t>
  </si>
  <si>
    <t>Austin Homebrew</t>
  </si>
  <si>
    <t>http://www.breworganic.com/</t>
  </si>
  <si>
    <t>Seven Bridges coop Organic Home Brew</t>
  </si>
  <si>
    <t>http://www.ebrew.com/systems/brewing_systems.htm#system_up-grades</t>
  </si>
  <si>
    <t>Great Stuff, Crappy Website</t>
  </si>
  <si>
    <t>Alternative Beverage</t>
  </si>
  <si>
    <t>http://www.stpats.com/kegsys.htm</t>
  </si>
  <si>
    <t>http://www.thebeveragepeople.com/</t>
  </si>
  <si>
    <t>http://www.rapidswholesale.com/</t>
  </si>
  <si>
    <t>http://www.usplastic.com/catalog/search.asp?</t>
  </si>
  <si>
    <t>Conical Fermenters &amp; Other Plastic Stuff</t>
  </si>
  <si>
    <t>Cool Wholesale Stuff</t>
  </si>
  <si>
    <t>Santa Rosa Distributor</t>
  </si>
  <si>
    <t>Organic Brewing Supplies (Santa Cruz)</t>
  </si>
  <si>
    <t>Read</t>
  </si>
  <si>
    <t>Date</t>
  </si>
  <si>
    <t>Bittering Hops</t>
  </si>
  <si>
    <t>Finishing Hops</t>
  </si>
  <si>
    <t>Grain</t>
  </si>
  <si>
    <t>Water Treatment</t>
  </si>
  <si>
    <t>Brewpot</t>
  </si>
  <si>
    <t>Temp (°F)</t>
  </si>
  <si>
    <t>Containers</t>
  </si>
  <si>
    <t>Bottler</t>
  </si>
  <si>
    <t>Bottle Type</t>
  </si>
  <si>
    <t>Gravity</t>
  </si>
  <si>
    <t>Start</t>
  </si>
  <si>
    <t>Rack</t>
  </si>
  <si>
    <t>Hop (IBU)</t>
  </si>
  <si>
    <t>Color ()</t>
  </si>
  <si>
    <t>Sanitizer</t>
  </si>
  <si>
    <t>When</t>
  </si>
  <si>
    <t>Name:</t>
  </si>
  <si>
    <t>Date:</t>
  </si>
  <si>
    <t>Original Gravity:</t>
  </si>
  <si>
    <t>Degrees Plato:</t>
  </si>
  <si>
    <t>Post Boil Volume (gals):</t>
  </si>
  <si>
    <t>Liters of Wort:</t>
  </si>
  <si>
    <t>Barrels of Wort:</t>
  </si>
  <si>
    <t>Efficiency of Pale Malt:</t>
  </si>
  <si>
    <t/>
  </si>
  <si>
    <t>Efficiency for Speciality Malt:</t>
  </si>
  <si>
    <t>Percent Pale Malt:</t>
  </si>
  <si>
    <t>Type of Pale Malt:</t>
  </si>
  <si>
    <t>Percent Specialty Malt #1:</t>
  </si>
  <si>
    <t>Name of Speciality Malt #1</t>
  </si>
  <si>
    <t>Percent Specialty Malt #2:</t>
  </si>
  <si>
    <t>Name of Speciality Malt #2:</t>
  </si>
  <si>
    <t>Percent Specialty Malt #3:</t>
  </si>
  <si>
    <t>Name of Speciality Malt #3:</t>
  </si>
  <si>
    <t>Percent Specialty Malt #4:</t>
  </si>
  <si>
    <t>Name of Speciality Malt #4:</t>
  </si>
  <si>
    <t>Percent Specialty Malt #5:</t>
  </si>
  <si>
    <t>Name of Speciality Malt #5:</t>
  </si>
  <si>
    <t>Kg. Pale Malt Required:</t>
  </si>
  <si>
    <t>Lbs. Pale Malt:</t>
  </si>
  <si>
    <t>Kg. Speciality #1 Required:</t>
  </si>
  <si>
    <t>Lbs. Speciality Malt #1:</t>
  </si>
  <si>
    <t>Kg. Speciality #2 Required:</t>
  </si>
  <si>
    <t>Lbs. Speciality Malt #2:</t>
  </si>
  <si>
    <t>Kg. Speciality #3 Required:</t>
  </si>
  <si>
    <t>Lbs. Speciality Malt #3:</t>
  </si>
  <si>
    <t>Kg. Speciality #4 Required:</t>
  </si>
  <si>
    <t>Lbs. Speciality Malt #4:</t>
  </si>
  <si>
    <t>Kg. Speciality #5 Required:</t>
  </si>
  <si>
    <t>Lbs. Speciality Malt #5:</t>
  </si>
  <si>
    <t>Total Iso-Alpha Acid Desired:</t>
  </si>
  <si>
    <t xml:space="preserve">First Hop: </t>
  </si>
  <si>
    <t xml:space="preserve">Second Hop: </t>
  </si>
  <si>
    <t xml:space="preserve">   Time in Kettle (mins):</t>
  </si>
  <si>
    <t xml:space="preserve">   % Alpha Acid:</t>
  </si>
  <si>
    <t xml:space="preserve">   Desired Alpha Acid Fraction (%):</t>
  </si>
  <si>
    <t xml:space="preserve">   Utilization (%):</t>
  </si>
  <si>
    <t xml:space="preserve">   Hops required for Batch (kg):</t>
  </si>
  <si>
    <t xml:space="preserve">   Hops Required for Batch (lbs):</t>
  </si>
  <si>
    <t xml:space="preserve">   Hops Required (ounces):</t>
  </si>
  <si>
    <t xml:space="preserve">Third Hop: </t>
  </si>
  <si>
    <t>Fourth Hop:</t>
  </si>
  <si>
    <t xml:space="preserve">   Time in Kettle:</t>
  </si>
  <si>
    <t>Cost of Pale Malt (per lb.):</t>
  </si>
  <si>
    <t>Cost for Batch:</t>
  </si>
  <si>
    <t>Cost of Malt #1:</t>
  </si>
  <si>
    <t>Cost of Malts #2-#5:</t>
  </si>
  <si>
    <t>Cost of Hops (per lb.):</t>
  </si>
  <si>
    <t>Total Cost of Malt and Hops:</t>
  </si>
  <si>
    <t>Water Start:</t>
  </si>
  <si>
    <t>Water Adjustments:</t>
  </si>
  <si>
    <t>Liquor to Grist Ratio (_:1):</t>
  </si>
  <si>
    <t>Volume of Mash Water (l):</t>
  </si>
  <si>
    <t>Volume of Mash Water (BBL):</t>
  </si>
  <si>
    <t>Volume of Mash Water (gal):</t>
  </si>
  <si>
    <t>Mash-in Temperature (deg C):</t>
  </si>
  <si>
    <t>Strike Temperature (deg C):</t>
  </si>
  <si>
    <t>Yeast Strain:</t>
  </si>
  <si>
    <t>Mash Type:</t>
  </si>
  <si>
    <t>Comments:</t>
  </si>
  <si>
    <t xml:space="preserve">Name: </t>
  </si>
  <si>
    <t xml:space="preserve">Date: </t>
  </si>
  <si>
    <t>Mashing Schedule (Time)</t>
  </si>
  <si>
    <t>Decoction</t>
  </si>
  <si>
    <t>Temperature (deg C)</t>
  </si>
  <si>
    <t>Temp (deg F)</t>
  </si>
  <si>
    <t>Gravity of First Runnings:</t>
  </si>
  <si>
    <t>Gravity of Last Runnings:</t>
  </si>
  <si>
    <t>Pre-Boil Volume (gal):</t>
  </si>
  <si>
    <t>Post-Boil volume @ 100 C (gals):</t>
  </si>
  <si>
    <t>Knockout  Volume (gal):</t>
  </si>
  <si>
    <t>Knockout Volume (liters):</t>
  </si>
  <si>
    <t>Knockout Volume (BBL):</t>
  </si>
  <si>
    <t>Original Extract (deg P):</t>
  </si>
  <si>
    <t>Extraction Efficiency (%):</t>
  </si>
  <si>
    <t>Start of Visible Fermentation:</t>
  </si>
  <si>
    <t>Generation:</t>
  </si>
  <si>
    <t>Pitching Rate:</t>
  </si>
  <si>
    <t>Pitching Temp:</t>
  </si>
  <si>
    <t>Fermentation Temp:</t>
  </si>
  <si>
    <t>Fermenter Type:</t>
  </si>
  <si>
    <t>Gravity after ____ Hours:</t>
  </si>
  <si>
    <t>Gravity after ____ Days:</t>
  </si>
  <si>
    <t>Apparent Terminal Gravity:</t>
  </si>
  <si>
    <t>Apparent Extract (deg P):</t>
  </si>
  <si>
    <t>Apparent Attenuation:</t>
  </si>
  <si>
    <t>Real Extract (deg P):</t>
  </si>
  <si>
    <t>Real Attenuation:</t>
  </si>
  <si>
    <t>Calories (per 12 oz.):</t>
  </si>
  <si>
    <t>Alcohol % w/v:</t>
  </si>
  <si>
    <t>Alcohol % v/v:</t>
  </si>
  <si>
    <t>Conditioning Date:</t>
  </si>
  <si>
    <t>Temperature:</t>
  </si>
  <si>
    <t>Number of days:</t>
  </si>
  <si>
    <t>Finings:</t>
  </si>
  <si>
    <t>Filtration:</t>
  </si>
  <si>
    <t>Kraeusening:</t>
  </si>
  <si>
    <t>Date of packaging:</t>
  </si>
  <si>
    <t>Pressure:</t>
  </si>
  <si>
    <t>Vol. of CO2 from table:</t>
  </si>
  <si>
    <t>Color:</t>
  </si>
  <si>
    <t>Clarity:</t>
  </si>
  <si>
    <t>Body:</t>
  </si>
  <si>
    <t>Head Retention:</t>
  </si>
  <si>
    <t>Bitterness:</t>
  </si>
  <si>
    <t>Maltiness:</t>
  </si>
  <si>
    <t>Hop flavor:</t>
  </si>
  <si>
    <t>Diacetyl:</t>
  </si>
  <si>
    <t>Esters:</t>
  </si>
  <si>
    <t>Off flavors:</t>
  </si>
  <si>
    <t>Additional comments:</t>
  </si>
  <si>
    <t>Brew</t>
  </si>
  <si>
    <t>Ingredient</t>
  </si>
  <si>
    <t>BrewName</t>
  </si>
  <si>
    <t>Brew Date</t>
  </si>
  <si>
    <t>Bottle</t>
  </si>
  <si>
    <t>PreBrew</t>
  </si>
  <si>
    <t>Expected</t>
  </si>
  <si>
    <t>Actual</t>
  </si>
  <si>
    <t>Body</t>
  </si>
  <si>
    <t>Clarity</t>
  </si>
  <si>
    <t>Head Retention</t>
  </si>
  <si>
    <t>Esters</t>
  </si>
  <si>
    <t>Hop flavor</t>
  </si>
  <si>
    <t>Diacetyl</t>
  </si>
  <si>
    <t>Other Flavors</t>
  </si>
  <si>
    <t>Off flavors</t>
  </si>
  <si>
    <t>Consume</t>
  </si>
  <si>
    <t>Store</t>
  </si>
  <si>
    <t>0 / ALL</t>
  </si>
  <si>
    <t>Ferm Size (Gal)</t>
  </si>
  <si>
    <t>Champagne</t>
  </si>
  <si>
    <t>Keg Tubing</t>
  </si>
  <si>
    <t>Pilothouse Pilsner</t>
  </si>
  <si>
    <t>Deaf Dog Coffee Stout</t>
  </si>
  <si>
    <t>Octoberfest Lagger</t>
  </si>
  <si>
    <t>Large Strainer</t>
  </si>
  <si>
    <t>Thermostat</t>
  </si>
  <si>
    <t>Carboy Draining Stand</t>
  </si>
  <si>
    <t>http://store.brewhut.com/index.asp?PageAction=VIEWPROD&amp;ProdID=261</t>
  </si>
  <si>
    <t>15 Gallon Conical Fermenter</t>
  </si>
  <si>
    <t>http://store.brewhut.com/index.asp?PageAction=VIEWPROD&amp;ProdID=260</t>
  </si>
  <si>
    <t>6.5 Gallon Conical Fermenter</t>
  </si>
  <si>
    <t>http://store.brewhut.com/index.asp?PageAction=VIEWPROD&amp;ProdID=259</t>
  </si>
  <si>
    <t>6.5 Gallon Glass Carboy</t>
  </si>
  <si>
    <t>Priming Sugar</t>
  </si>
  <si>
    <t>Condiditioning Storage</t>
  </si>
  <si>
    <t>http://www.northernbrewer.com/</t>
  </si>
  <si>
    <t>http://www.williamsbrewing.com</t>
  </si>
  <si>
    <t>5 Gal Soda Keg</t>
  </si>
  <si>
    <t>5# C02 Tank</t>
  </si>
  <si>
    <t>Double Guage</t>
  </si>
  <si>
    <t>5 Gal</t>
  </si>
  <si>
    <t>3 piece</t>
  </si>
  <si>
    <t>Bottle Filler</t>
  </si>
  <si>
    <t>Brewers Edge Cleaner</t>
  </si>
  <si>
    <t>Ball Lock Out Barbed</t>
  </si>
  <si>
    <t>Ball Lock In Barbed</t>
  </si>
  <si>
    <t>Ball Lock In Threaded</t>
  </si>
  <si>
    <t>Ball Lock Out Threaded</t>
  </si>
  <si>
    <t>Williams Belgian Saison</t>
  </si>
  <si>
    <t>www.williamsbrewing.com</t>
  </si>
  <si>
    <t>Paid</t>
  </si>
  <si>
    <t xml:space="preserve"> </t>
  </si>
  <si>
    <t>Black Bottle Capper</t>
  </si>
  <si>
    <t>Red Bottle Capper</t>
  </si>
  <si>
    <t>8qt, 10qt &amp; 12qt</t>
  </si>
  <si>
    <t>5Gal&lt;x&lt;10 Gal?</t>
  </si>
  <si>
    <t>Al Brewpot</t>
  </si>
  <si>
    <t>SS Brewpot Set</t>
  </si>
  <si>
    <t>Iodine Sanatizer</t>
  </si>
  <si>
    <t>12 floz</t>
  </si>
  <si>
    <t>Amber Glass</t>
  </si>
  <si>
    <t>Used Champagne Glass</t>
  </si>
  <si>
    <t>750mL</t>
  </si>
  <si>
    <t>Set of 4 orings</t>
  </si>
  <si>
    <t>Bottling Kit</t>
  </si>
  <si>
    <t>Kegging Kit</t>
  </si>
  <si>
    <t>Boiling Kit I</t>
  </si>
  <si>
    <t>Misc Brewing Equip</t>
  </si>
  <si>
    <t>Primary Kit I</t>
  </si>
  <si>
    <t>Primary Kit II</t>
  </si>
  <si>
    <t>Secondary Kit II</t>
  </si>
  <si>
    <t>Secondary Kit I</t>
  </si>
  <si>
    <t>Plastic Primary Fermenter I</t>
  </si>
  <si>
    <t>Plastic Primary Fermenter II</t>
  </si>
  <si>
    <t>Glass Carboy I</t>
  </si>
  <si>
    <t>Glass Carboy II</t>
  </si>
  <si>
    <t>Airlock I</t>
  </si>
  <si>
    <t>Airlock II</t>
  </si>
  <si>
    <t>Airlock III</t>
  </si>
  <si>
    <t>Airlock IV</t>
  </si>
  <si>
    <t>Airlock V</t>
  </si>
  <si>
    <t>Carboy Bung II</t>
  </si>
  <si>
    <t>Hydrometer I</t>
  </si>
  <si>
    <t>Hydrometer II</t>
  </si>
  <si>
    <t>Yeast Kit</t>
  </si>
  <si>
    <t>Always Kit</t>
  </si>
  <si>
    <t>Mr Beer Kit I &amp; II</t>
  </si>
  <si>
    <t>Brew Keg I &amp; II</t>
  </si>
  <si>
    <t>Erlenmeyer Flasks</t>
  </si>
  <si>
    <t>Stirrer</t>
  </si>
  <si>
    <t>fda</t>
  </si>
  <si>
    <t>Soda Keg I &amp; II</t>
  </si>
  <si>
    <t>Glass Measuring Cup</t>
  </si>
  <si>
    <t>2 Cup</t>
  </si>
  <si>
    <t>Wort Airator &amp; Pump</t>
  </si>
  <si>
    <t>http://www.brewhut.com</t>
  </si>
  <si>
    <t>conical fermenters</t>
  </si>
  <si>
    <t>Face Mask</t>
  </si>
  <si>
    <t>30k BTU Propane Cooker</t>
  </si>
  <si>
    <t>70k BTU Propane Cooker</t>
  </si>
  <si>
    <t>Gilda Corker</t>
  </si>
  <si>
    <t>22oz Amber Longneck Bottles (12)</t>
  </si>
  <si>
    <t>4 cases or more 18.90/case</t>
  </si>
  <si>
    <t>12oz Amber longneck (24)</t>
  </si>
  <si>
    <t>Six Pack Holders</t>
  </si>
  <si>
    <t>8 or more $0.75 each</t>
  </si>
  <si>
    <t>Wine Making Kit Chardonnay</t>
  </si>
  <si>
    <t>Mashing System</t>
  </si>
  <si>
    <t>http://www.williamsbrewing.com/LOW_PRESSURE_BURNER_P418.cfm</t>
  </si>
  <si>
    <t>http://www.williamsbrewing.com/HIGH_PRESSURE_BURNER_P182.cfm</t>
  </si>
  <si>
    <t>http://www.williamsbrewing.com/THE_THIEF_P435.cfm</t>
  </si>
  <si>
    <t>http://www.williamsbrewing.com/GILDA_CORKER_P1299.cfm</t>
  </si>
  <si>
    <t>http://www.williamsbrewing.com/22_OZ_BOTTLES-CASE_OF_12_P413.cfm</t>
  </si>
  <si>
    <t>http://www.williamsbrewing.com/12_OZ_BOTTLES-CASE_OF_24_P414.cfm</t>
  </si>
  <si>
    <t>http://www.williamsbrewing.com/BLANK_6_PACK_HOLDER_P1431.cfm</t>
  </si>
  <si>
    <t>http://www.williamsbrewing.com/WINERY_WITH_CHARDONNAY_P1287.cfm</t>
  </si>
  <si>
    <t>http://www.williamsbrewing.com/WILLIAM_S_MASHING_SYSTEM_P191.cfm</t>
  </si>
  <si>
    <t>Keg Pressure Tester</t>
  </si>
  <si>
    <t>http://www.williamsbrewing.com/STARR_CLASSIC_OPENER_P207C46.cfm</t>
  </si>
  <si>
    <t>Classic Bottle Opener</t>
  </si>
  <si>
    <t>Keg Lube</t>
  </si>
  <si>
    <t>http://www.williamsbrewing.com/WYEAST_BEER_YEAST_NUTRIENT_1_5_P2C108.cfm</t>
  </si>
  <si>
    <t>Wyeast Yeast Nutrients</t>
  </si>
  <si>
    <t>http://www.williamsbrewing.com/ALCOHOL_LAMP_P421C108.cfm</t>
  </si>
  <si>
    <t>Alchohol Lamp</t>
  </si>
  <si>
    <t>http://www.williamsbrewing.com/MASH_TUN_TIE_CLIP_P854C132.cfm</t>
  </si>
  <si>
    <t>Mash Tun Tie Clip</t>
  </si>
  <si>
    <t>http://www.williamsbrewing.com/1_LITER_CLASSIC_GLASS_SELTZER__P1194C126.cfm</t>
  </si>
  <si>
    <t>Glass Seltzer Bottle</t>
  </si>
  <si>
    <t>Clover Honey</t>
  </si>
  <si>
    <t>3 lb</t>
  </si>
  <si>
    <t>The Beverage People</t>
  </si>
  <si>
    <t>http://store.thebeveragepeople.com/pgi-PRODUCTSPEC?AD34</t>
  </si>
  <si>
    <t>Keg</t>
  </si>
  <si>
    <t>Keg 1</t>
  </si>
  <si>
    <t>Keg 2</t>
  </si>
  <si>
    <t>Pressure Valve</t>
  </si>
  <si>
    <t>PV 1</t>
  </si>
  <si>
    <t>PV 2</t>
  </si>
  <si>
    <t>Door</t>
  </si>
  <si>
    <t>D 1</t>
  </si>
  <si>
    <t>D 2</t>
  </si>
  <si>
    <t>Liquid Out Ball Lock</t>
  </si>
  <si>
    <t>Out Tube (long)</t>
  </si>
  <si>
    <t>In Tube (Short)</t>
  </si>
  <si>
    <t>Keg Markings</t>
  </si>
  <si>
    <t>74176559, Pepsi Cola Btlg Co, Older, Dent near base</t>
  </si>
  <si>
    <t>73010996, Northland Beverages, Newer</t>
  </si>
  <si>
    <t>PV Desc</t>
  </si>
  <si>
    <t>Vert CORCO right of Caution Text, rust</t>
  </si>
  <si>
    <t>no vert text, no rust</t>
  </si>
  <si>
    <t>Door Desc</t>
  </si>
  <si>
    <t>H or I in center, 5 on plastic</t>
  </si>
  <si>
    <t>1 or I on center, no text on plastic</t>
  </si>
  <si>
    <t>Rep tube gaskets</t>
  </si>
  <si>
    <t>Rep popet gasket</t>
  </si>
  <si>
    <t>Rep Main Door Gasket</t>
  </si>
  <si>
    <t xml:space="preserve">Gas In Ball Lock </t>
  </si>
  <si>
    <t>(Star Wrench 7/8"), Tan Popet</t>
  </si>
  <si>
    <t xml:space="preserve"> (Hex Wrench 7/8"), Black Popet</t>
  </si>
  <si>
    <t>(Star Wrench 7/8"), black Popet</t>
  </si>
  <si>
    <t>7/8" Deep Socket (for Kegs)</t>
  </si>
  <si>
    <t>Simple Beer Equip, Ingred &amp; Kits</t>
  </si>
  <si>
    <t>Homebrew Suppliers</t>
  </si>
  <si>
    <t>Professional Grade Suppliers</t>
  </si>
  <si>
    <t>http://www.undergrounddigital.com/</t>
  </si>
  <si>
    <t>http://bluestemwine.com/</t>
  </si>
  <si>
    <t>http://www.bdequipment.com/</t>
  </si>
  <si>
    <t>Used Resturant Equip</t>
  </si>
  <si>
    <t>Kegging Info</t>
  </si>
  <si>
    <t>Brewing Info</t>
  </si>
  <si>
    <t>http://micromatic.com/</t>
  </si>
  <si>
    <t>Beer Dispensing Equip</t>
  </si>
  <si>
    <t>http://www.homebrewery.com/</t>
  </si>
  <si>
    <t>http://www.beveragefactory.com/</t>
  </si>
  <si>
    <t>Beverage Distribution Stuff</t>
  </si>
  <si>
    <t xml:space="preserve">    &lt;font color="#000000"&gt;......&lt;/font&gt;&lt;a href="</t>
  </si>
  <si>
    <t>Northern Brewer</t>
  </si>
  <si>
    <t>Williams Brewing</t>
  </si>
  <si>
    <t>Home Brewery.com</t>
  </si>
  <si>
    <t>Kegging Systems</t>
  </si>
  <si>
    <t>More Beer.com</t>
  </si>
  <si>
    <t>Rapids Wholesale</t>
  </si>
  <si>
    <t>BD Equipment</t>
  </si>
  <si>
    <t>Micromatic</t>
  </si>
  <si>
    <t>US Plastic</t>
  </si>
  <si>
    <t>Brewhut</t>
  </si>
  <si>
    <t>Beverave Factory</t>
  </si>
  <si>
    <t>"&gt;</t>
  </si>
  <si>
    <t>&lt;/a&gt;&lt;br&gt;</t>
  </si>
  <si>
    <t>Champagne Capper Adapter</t>
  </si>
  <si>
    <t>AL Foil</t>
  </si>
  <si>
    <t>Gloves</t>
  </si>
  <si>
    <t>Container for Sugar</t>
  </si>
  <si>
    <t>Packing Slips for outside of Boxes</t>
  </si>
  <si>
    <t>Hooks for clipboards for Carboys &amp; 6.5 Gal Buckets</t>
  </si>
  <si>
    <t>PrmSugar (Cup)</t>
  </si>
  <si>
    <t>Kit Loc</t>
  </si>
  <si>
    <t>Auto Siphon &amp; Rackin Cane &amp; Siphon Cap</t>
  </si>
  <si>
    <t>Red Tube Holder</t>
  </si>
  <si>
    <t>Siphon Hose</t>
  </si>
  <si>
    <t>White Siphon Hose Clamp</t>
  </si>
  <si>
    <t>Metal Screw Tubing Clamp</t>
  </si>
  <si>
    <t>Long Stem Dial Thermometer</t>
  </si>
  <si>
    <t>Plastic Bucket Lid (Drilled w/ Gromet)</t>
  </si>
  <si>
    <t>Long Liquid Crystal Thermometer (On Primary)</t>
  </si>
  <si>
    <t>Bottling Spiggot</t>
  </si>
  <si>
    <t>Measurer for Primary</t>
  </si>
  <si>
    <t>Standalone Racking Cane &amp; Tubing</t>
  </si>
  <si>
    <t>Jet Carboy Cleaner + Fawcet Adapter</t>
  </si>
  <si>
    <t>Carboy Cap + 2 White Caps</t>
  </si>
  <si>
    <t>Carboy Stand</t>
  </si>
  <si>
    <t>Use</t>
  </si>
  <si>
    <t>Pliers</t>
  </si>
  <si>
    <t>Calipers</t>
  </si>
  <si>
    <t>Adjustable Wrench Large Enough for CO2 Tank Reg</t>
  </si>
  <si>
    <t>Picknick Spiggot &amp; Tubing &amp; Ball Lock</t>
  </si>
  <si>
    <t>Soda Keg O-Rings</t>
  </si>
  <si>
    <t>Metal  Keg Spigot (For Refrig or Jocky)</t>
  </si>
  <si>
    <t>What  pm of BTF/Idophor to use?</t>
  </si>
  <si>
    <t>1/4 oz in 2 1/2 Gal = 1/2 oz in 5 gal = 2 cap/5 gal = 12.5ppm</t>
  </si>
  <si>
    <t>1/5 oz in 1 Gal = 1 oz in 5 gal = 4 cap/5 gal = 25ppm</t>
  </si>
  <si>
    <t>y</t>
  </si>
  <si>
    <t>Popet Valve Barb &amp; Picknic Tube Barb</t>
  </si>
  <si>
    <t>ID (in)</t>
  </si>
  <si>
    <t>OD (in)</t>
  </si>
  <si>
    <t>Quant x Length (# x in)</t>
  </si>
  <si>
    <t>1 x 6'</t>
  </si>
  <si>
    <t>3 x 6'</t>
  </si>
  <si>
    <t>Plastic Sampler/Theif</t>
  </si>
  <si>
    <t>55k BTU Propane Cooker</t>
  </si>
  <si>
    <t>Seven Hills</t>
  </si>
  <si>
    <t>Wine</t>
  </si>
  <si>
    <t>Nifty/Novelty</t>
  </si>
  <si>
    <t>Ingredients for Stock</t>
  </si>
  <si>
    <t>Blue Handle Flat Head Screwdriver</t>
  </si>
  <si>
    <t>White Plastic Airator</t>
  </si>
  <si>
    <t>Cotton Straining Bag</t>
  </si>
  <si>
    <t>large</t>
  </si>
  <si>
    <t>Glass lid for 5 Gal Brewpot</t>
  </si>
  <si>
    <t>SS Brewpot</t>
  </si>
  <si>
    <t>8 Qt</t>
  </si>
  <si>
    <t>Small Brewpot for Sparging</t>
  </si>
  <si>
    <t>Cleaner</t>
  </si>
  <si>
    <t>6.5 Gal Plastic Lid (Drilled w/ Gromit)</t>
  </si>
  <si>
    <t>Cal Com</t>
  </si>
  <si>
    <t>Mead</t>
  </si>
  <si>
    <t>33 floz</t>
  </si>
  <si>
    <t>4 floz</t>
  </si>
  <si>
    <t>LT Box</t>
  </si>
  <si>
    <t>Orange Carboy Handle</t>
  </si>
  <si>
    <t>Long BB Liquid Crystal Thermometer</t>
  </si>
  <si>
    <t xml:space="preserve">6.5 Gal </t>
  </si>
  <si>
    <t>Plastic Bottling Bucket I &amp; II &amp; III</t>
  </si>
  <si>
    <t>Cardboard Box</t>
  </si>
  <si>
    <t>Primary / Secondary Kit III</t>
  </si>
  <si>
    <t>Plastic Bucket Lid (Drilled Large Hole</t>
  </si>
  <si>
    <t>Rubber Bung</t>
  </si>
  <si>
    <t>Plastic Airlock</t>
  </si>
  <si>
    <t>1 piece</t>
  </si>
  <si>
    <t>Red Bottom Hydrometer</t>
  </si>
  <si>
    <t>Standalone Racking Cane</t>
  </si>
  <si>
    <t>Orange Carboy Cap + 2 white caps</t>
  </si>
  <si>
    <t>Small Bottle Brush</t>
  </si>
  <si>
    <t>Tubing</t>
  </si>
  <si>
    <t>http://www.breworganic.com/index.asp?PageAction=VIEWPROD&amp;ProdID=409</t>
  </si>
  <si>
    <t>4 lb</t>
  </si>
  <si>
    <t>http://www.breworganic.com/index.asp?PageAction=VIEWPROD&amp;ProdID=436</t>
  </si>
  <si>
    <t>Tubing Barb 'T'</t>
  </si>
  <si>
    <t>Tubing Barb ' 'Cross"</t>
  </si>
  <si>
    <t>http://www.breworganic.com/index.asp?PageAction=VIEWPROD&amp;ProdID=574</t>
  </si>
  <si>
    <t>Quick Disconects for tubning</t>
  </si>
  <si>
    <t>Counter Pressure Bottle Filler</t>
  </si>
  <si>
    <t>Tubing Brush</t>
  </si>
  <si>
    <t>Keg Outlet Brush</t>
  </si>
  <si>
    <t>Tools Need</t>
  </si>
  <si>
    <t>Consumables  Need</t>
  </si>
  <si>
    <t>Smaller than barb, but fits (low Foam Transfer)</t>
  </si>
  <si>
    <t>Large Racking Cane OD</t>
  </si>
  <si>
    <t>Small Racking Cane OD (Siphon Transfer Tubing)</t>
  </si>
  <si>
    <t>Wort Chiller Cu OD</t>
  </si>
  <si>
    <t>Wort Chiller Cu Tubing 27'</t>
  </si>
  <si>
    <t>Threaded Popet Size 1/4 MPT</t>
  </si>
  <si>
    <t>Can Get 5/8 OD Cu Tubing from ACE</t>
  </si>
  <si>
    <t>1/4" ID Gas</t>
  </si>
  <si>
    <t>5/16" ID Transfer</t>
  </si>
  <si>
    <t>http://www.hoptech.com/cart/cart.php?target=product&amp;product_id=16369&amp;category_id=279</t>
  </si>
  <si>
    <t>Keg Hose Cleaner</t>
  </si>
  <si>
    <t>The Carbonator (PET bottle to Ball Lock Popet)</t>
  </si>
  <si>
    <t>Soda Kegs</t>
  </si>
  <si>
    <t>http://www.kegs.com/balllocks.html</t>
  </si>
  <si>
    <t>Hardware Store</t>
  </si>
  <si>
    <t>1/4  barb - 1/4 MPT</t>
  </si>
  <si>
    <t xml:space="preserve">5/8 barb - </t>
  </si>
  <si>
    <t>Tweezers</t>
  </si>
  <si>
    <t>QTY</t>
  </si>
  <si>
    <t>Color ID</t>
  </si>
  <si>
    <t>Desc</t>
  </si>
  <si>
    <t>Red</t>
  </si>
  <si>
    <t>Green</t>
  </si>
  <si>
    <t>Blue</t>
  </si>
  <si>
    <t>Yellow</t>
  </si>
  <si>
    <t>Note:</t>
  </si>
  <si>
    <t>Close double color bands = screw or popet attached to one end</t>
  </si>
  <si>
    <t>Far double color bands = thick tubing</t>
  </si>
  <si>
    <t>GreenGreen</t>
  </si>
  <si>
    <t>Blue--Blue</t>
  </si>
  <si>
    <t>Red--Red</t>
  </si>
  <si>
    <t>Beverage</t>
  </si>
  <si>
    <t>Types of tubing uses</t>
  </si>
  <si>
    <t>Keg-Keg</t>
  </si>
  <si>
    <t>liq-liq</t>
  </si>
  <si>
    <t>C02-keg</t>
  </si>
  <si>
    <t>-gas</t>
  </si>
  <si>
    <t>Racking -keg</t>
  </si>
  <si>
    <t>rack-liquid screw</t>
  </si>
  <si>
    <t>racking - ferm</t>
  </si>
  <si>
    <t>counter p</t>
  </si>
  <si>
    <t>screw-screw x2</t>
  </si>
  <si>
    <t xml:space="preserve">pressure gauge </t>
  </si>
  <si>
    <t>screw gas</t>
  </si>
  <si>
    <t>hose-cu chiller</t>
  </si>
  <si>
    <t>empty</t>
  </si>
  <si>
    <t>hose - any tubing</t>
  </si>
  <si>
    <t>hose-open popet</t>
  </si>
  <si>
    <t>co2 - open popet</t>
  </si>
  <si>
    <t>Cu or SS Tubing for Jocky Box 1/4 or 3/8" ID</t>
  </si>
  <si>
    <t>2" thick 5/8" ID bulkhead w/ male mpt 1/4 or 5/8"</t>
  </si>
  <si>
    <t>DIY Conical Fermenter</t>
  </si>
  <si>
    <t>http://www.austinhomebrew.com/product_info.php?cPath=178_406_413&amp;products_id=10161</t>
  </si>
  <si>
    <t>http://www.austinhomebrew.com/product_info.php?cPath=178_406_413&amp;products_id=10157</t>
  </si>
  <si>
    <t>DIY CF Dump Valve assembly</t>
  </si>
  <si>
    <t>http://www.austinhomebrew.com/product_info.php?cPath=178_406_413&amp;products_id=10158</t>
  </si>
  <si>
    <t>DIY CF Racking Port Assembly</t>
  </si>
  <si>
    <t>Plastic Cover for Paper Sheets</t>
  </si>
  <si>
    <t>Timer</t>
  </si>
  <si>
    <t>Airlock on Gas Ball-Lock</t>
  </si>
  <si>
    <t>Misc</t>
  </si>
  <si>
    <t>Keg Carbonator (use as an airator?)</t>
  </si>
  <si>
    <t>Costco Turkey Fryer (Stainless Steel 52kBTU</t>
  </si>
  <si>
    <t>White Hose Adapter &amp; Clamp &amp; Large Tube Clamp</t>
  </si>
  <si>
    <t>Glass Carboy III</t>
  </si>
  <si>
    <t>Plastic Primary Fermenter III</t>
  </si>
  <si>
    <t>Hydrometer III (BROKEN)</t>
  </si>
  <si>
    <t>1/2 Gal</t>
  </si>
  <si>
    <t>Growler + Lids</t>
  </si>
  <si>
    <t>3/8" ID</t>
  </si>
  <si>
    <t>Transfer Tubing</t>
  </si>
  <si>
    <t>Q</t>
  </si>
  <si>
    <t>Bottle Drying Tree</t>
  </si>
  <si>
    <t>Squeeze Bottle (sanitizing solution)</t>
  </si>
  <si>
    <t>Conical Fermenters</t>
  </si>
  <si>
    <t>7gal - $545</t>
  </si>
  <si>
    <t>14.5 gal - $575</t>
  </si>
  <si>
    <t>27 gal - $770</t>
  </si>
  <si>
    <t>Pressurizable</t>
  </si>
  <si>
    <t>Legs</t>
  </si>
  <si>
    <t>Temp Cont</t>
  </si>
  <si>
    <t>http://www.morebeer.com/product.html?product_id=16170</t>
  </si>
  <si>
    <t>12 gallon heating &amp; cooling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</si>
</sst>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0.00000000"/>
    <numFmt numFmtId="171" formatCode="&quot;$&quot;#,##0\ ;\(&quot;$&quot;#,##0\)"/>
    <numFmt numFmtId="172" formatCode="&quot;$&quot;#,##0\ ;[Red]\(&quot;$&quot;#,##0\)"/>
    <numFmt numFmtId="173" formatCode="&quot;$&quot;#,##0.00\ ;\(&quot;$&quot;#,##0.00\)"/>
    <numFmt numFmtId="174" formatCode="&quot;$&quot;#,##0.00\ ;[Red]\(&quot;$&quot;#,##0.00\)"/>
    <numFmt numFmtId="175" formatCode="m/d/yy"/>
    <numFmt numFmtId="176" formatCode="m/d/yy\ h:mm"/>
    <numFmt numFmtId="177" formatCode="m/d"/>
    <numFmt numFmtId="178" formatCode="[$-409]h:mm:ss\ AM/PM"/>
    <numFmt numFmtId="179" formatCode="[$-409]dddd\,\ mmmm\ dd\,\ yyyy"/>
    <numFmt numFmtId="180" formatCode="ddd\,\ mmmm\ dd\,\ yyyy"/>
    <numFmt numFmtId="181" formatCode="dd\,\ mmm\ dd\,\ yyyy"/>
    <numFmt numFmtId="182" formatCode="ddd\,\ mmm\ dd\,\ yyyy"/>
    <numFmt numFmtId="183" formatCode="ddd\,\ mmm\-dd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.5"/>
      <color indexed="63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sz val="14"/>
      <name val="FormalScrp421 BT"/>
      <family val="0"/>
    </font>
    <font>
      <u val="single"/>
      <sz val="10"/>
      <name val="Arial"/>
      <family val="0"/>
    </font>
    <font>
      <sz val="10"/>
      <color indexed="40"/>
      <name val="Arial"/>
      <family val="2"/>
    </font>
    <font>
      <sz val="10"/>
      <color indexed="5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0"/>
      <name val="Arial"/>
      <family val="2"/>
    </font>
    <font>
      <sz val="10"/>
      <color indexed="51"/>
      <name val="Arial"/>
      <family val="2"/>
    </font>
    <font>
      <sz val="10"/>
      <color indexed="55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b/>
      <sz val="10"/>
      <color indexed="51"/>
      <name val="Arial"/>
      <family val="0"/>
    </font>
    <font>
      <b/>
      <sz val="13.5"/>
      <color indexed="25"/>
      <name val="Georgia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 style="dashed"/>
      <top style="medium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>
        <color indexed="63"/>
      </top>
      <bottom style="thin"/>
    </border>
    <border>
      <left style="medium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17">
    <xf numFmtId="0" fontId="0" fillId="0" borderId="0" xfId="0" applyAlignment="1">
      <alignment/>
    </xf>
    <xf numFmtId="0" fontId="4" fillId="0" borderId="0" xfId="26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0" fontId="6" fillId="0" borderId="0" xfId="0" applyFont="1" applyAlignment="1">
      <alignment/>
    </xf>
    <xf numFmtId="44" fontId="1" fillId="0" borderId="0" xfId="18" applyFont="1" applyAlignment="1">
      <alignment/>
    </xf>
    <xf numFmtId="44" fontId="0" fillId="0" borderId="0" xfId="18" applyAlignment="1">
      <alignment/>
    </xf>
    <xf numFmtId="44" fontId="0" fillId="0" borderId="0" xfId="18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4" fontId="0" fillId="0" borderId="20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166" fontId="7" fillId="0" borderId="25" xfId="0" applyNumberFormat="1" applyFont="1" applyBorder="1" applyAlignment="1">
      <alignment horizontal="center"/>
    </xf>
    <xf numFmtId="0" fontId="0" fillId="2" borderId="36" xfId="0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34" xfId="0" applyBorder="1" applyAlignment="1">
      <alignment/>
    </xf>
    <xf numFmtId="0" fontId="0" fillId="0" borderId="6" xfId="0" applyBorder="1" applyAlignment="1">
      <alignment/>
    </xf>
    <xf numFmtId="0" fontId="6" fillId="0" borderId="10" xfId="0" applyFont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164" fontId="0" fillId="0" borderId="43" xfId="0" applyNumberFormat="1" applyBorder="1" applyAlignment="1">
      <alignment/>
    </xf>
    <xf numFmtId="0" fontId="1" fillId="2" borderId="19" xfId="0" applyFont="1" applyFill="1" applyBorder="1" applyAlignment="1">
      <alignment/>
    </xf>
    <xf numFmtId="166" fontId="6" fillId="0" borderId="43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164" fontId="0" fillId="0" borderId="43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/>
    </xf>
    <xf numFmtId="0" fontId="1" fillId="0" borderId="47" xfId="0" applyFont="1" applyBorder="1" applyAlignment="1">
      <alignment/>
    </xf>
    <xf numFmtId="0" fontId="6" fillId="0" borderId="48" xfId="0" applyFont="1" applyFill="1" applyBorder="1" applyAlignment="1">
      <alignment horizontal="right"/>
    </xf>
    <xf numFmtId="164" fontId="0" fillId="0" borderId="27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0" fillId="0" borderId="49" xfId="0" applyNumberFormat="1" applyBorder="1" applyAlignment="1">
      <alignment/>
    </xf>
    <xf numFmtId="2" fontId="1" fillId="0" borderId="50" xfId="0" applyNumberFormat="1" applyFont="1" applyFill="1" applyBorder="1" applyAlignment="1">
      <alignment horizontal="center"/>
    </xf>
    <xf numFmtId="164" fontId="0" fillId="0" borderId="21" xfId="0" applyNumberFormat="1" applyBorder="1" applyAlignment="1">
      <alignment/>
    </xf>
    <xf numFmtId="0" fontId="1" fillId="0" borderId="50" xfId="0" applyFont="1" applyFill="1" applyBorder="1" applyAlignment="1">
      <alignment horizontal="center"/>
    </xf>
    <xf numFmtId="164" fontId="0" fillId="0" borderId="51" xfId="0" applyNumberFormat="1" applyBorder="1" applyAlignment="1">
      <alignment/>
    </xf>
    <xf numFmtId="166" fontId="1" fillId="0" borderId="5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6" fontId="1" fillId="0" borderId="22" xfId="0" applyNumberFormat="1" applyFont="1" applyFill="1" applyBorder="1" applyAlignment="1">
      <alignment horizontal="center"/>
    </xf>
    <xf numFmtId="166" fontId="1" fillId="0" borderId="5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1" fillId="0" borderId="54" xfId="0" applyFont="1" applyFill="1" applyBorder="1" applyAlignment="1">
      <alignment horizontal="right"/>
    </xf>
    <xf numFmtId="1" fontId="0" fillId="0" borderId="24" xfId="0" applyNumberForma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2" borderId="55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right"/>
    </xf>
    <xf numFmtId="0" fontId="0" fillId="0" borderId="57" xfId="0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14" fontId="0" fillId="0" borderId="64" xfId="0" applyNumberFormat="1" applyFont="1" applyBorder="1" applyAlignment="1">
      <alignment/>
    </xf>
    <xf numFmtId="14" fontId="0" fillId="0" borderId="65" xfId="0" applyNumberFormat="1" applyFont="1" applyBorder="1" applyAlignment="1">
      <alignment/>
    </xf>
    <xf numFmtId="14" fontId="0" fillId="0" borderId="61" xfId="0" applyNumberFormat="1" applyFont="1" applyBorder="1" applyAlignment="1">
      <alignment/>
    </xf>
    <xf numFmtId="14" fontId="0" fillId="0" borderId="66" xfId="0" applyNumberFormat="1" applyFont="1" applyBorder="1" applyAlignment="1">
      <alignment/>
    </xf>
    <xf numFmtId="14" fontId="0" fillId="0" borderId="67" xfId="0" applyNumberFormat="1" applyFont="1" applyBorder="1" applyAlignment="1">
      <alignment/>
    </xf>
    <xf numFmtId="14" fontId="0" fillId="0" borderId="62" xfId="0" applyNumberFormat="1" applyFont="1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1" fillId="0" borderId="80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1" fillId="0" borderId="81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1" fillId="0" borderId="82" xfId="0" applyFont="1" applyBorder="1" applyAlignment="1">
      <alignment horizontal="right"/>
    </xf>
    <xf numFmtId="0" fontId="1" fillId="0" borderId="5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0" xfId="0" applyFont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1" fillId="0" borderId="5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8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81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44" fontId="6" fillId="0" borderId="0" xfId="18" applyFont="1" applyAlignment="1">
      <alignment/>
    </xf>
    <xf numFmtId="0" fontId="0" fillId="0" borderId="0" xfId="0" applyFont="1" applyAlignment="1">
      <alignment/>
    </xf>
    <xf numFmtId="44" fontId="0" fillId="0" borderId="0" xfId="18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14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2" fontId="6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14" fontId="0" fillId="0" borderId="23" xfId="0" applyNumberFormat="1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left"/>
    </xf>
    <xf numFmtId="0" fontId="0" fillId="0" borderId="93" xfId="0" applyFont="1" applyBorder="1" applyAlignment="1">
      <alignment horizontal="left"/>
    </xf>
    <xf numFmtId="0" fontId="0" fillId="0" borderId="90" xfId="0" applyFont="1" applyBorder="1" applyAlignment="1">
      <alignment horizontal="left"/>
    </xf>
    <xf numFmtId="0" fontId="0" fillId="0" borderId="91" xfId="0" applyFont="1" applyBorder="1" applyAlignment="1">
      <alignment horizontal="left"/>
    </xf>
    <xf numFmtId="14" fontId="0" fillId="0" borderId="92" xfId="0" applyNumberFormat="1" applyFont="1" applyBorder="1" applyAlignment="1">
      <alignment horizontal="left"/>
    </xf>
    <xf numFmtId="14" fontId="0" fillId="0" borderId="9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6" fillId="0" borderId="52" xfId="0" applyFont="1" applyBorder="1" applyAlignment="1">
      <alignment horizontal="left"/>
    </xf>
    <xf numFmtId="0" fontId="16" fillId="0" borderId="48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94" xfId="0" applyFont="1" applyBorder="1" applyAlignment="1">
      <alignment horizontal="center"/>
    </xf>
    <xf numFmtId="0" fontId="15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55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8" fillId="0" borderId="95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9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6" fillId="0" borderId="48" xfId="0" applyFont="1" applyBorder="1" applyAlignment="1">
      <alignment horizontal="center"/>
    </xf>
    <xf numFmtId="0" fontId="16" fillId="0" borderId="98" xfId="0" applyFont="1" applyBorder="1" applyAlignment="1">
      <alignment horizontal="left"/>
    </xf>
    <xf numFmtId="0" fontId="17" fillId="0" borderId="5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9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left"/>
    </xf>
    <xf numFmtId="0" fontId="0" fillId="0" borderId="99" xfId="0" applyFont="1" applyBorder="1" applyAlignment="1">
      <alignment horizontal="left"/>
    </xf>
    <xf numFmtId="14" fontId="0" fillId="0" borderId="100" xfId="0" applyNumberFormat="1" applyFont="1" applyBorder="1" applyAlignment="1">
      <alignment horizontal="left"/>
    </xf>
    <xf numFmtId="0" fontId="10" fillId="0" borderId="49" xfId="0" applyFont="1" applyBorder="1" applyAlignment="1">
      <alignment horizontal="center"/>
    </xf>
    <xf numFmtId="0" fontId="0" fillId="0" borderId="101" xfId="0" applyFont="1" applyBorder="1" applyAlignment="1">
      <alignment horizontal="left"/>
    </xf>
    <xf numFmtId="0" fontId="18" fillId="0" borderId="39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7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9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55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21" fillId="0" borderId="48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2" fontId="0" fillId="0" borderId="27" xfId="0" applyNumberFormat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17" fontId="1" fillId="0" borderId="0" xfId="0" applyNumberFormat="1" applyFont="1" applyAlignment="1">
      <alignment/>
    </xf>
    <xf numFmtId="17" fontId="0" fillId="0" borderId="0" xfId="0" applyNumberFormat="1" applyAlignment="1">
      <alignment/>
    </xf>
    <xf numFmtId="17" fontId="6" fillId="0" borderId="0" xfId="0" applyNumberFormat="1" applyFont="1" applyAlignment="1">
      <alignment/>
    </xf>
    <xf numFmtId="0" fontId="0" fillId="0" borderId="102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19" fillId="0" borderId="103" xfId="0" applyFont="1" applyBorder="1" applyAlignment="1">
      <alignment horizontal="center"/>
    </xf>
    <xf numFmtId="0" fontId="19" fillId="0" borderId="104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19" fillId="0" borderId="106" xfId="0" applyFont="1" applyBorder="1" applyAlignment="1">
      <alignment horizontal="center"/>
    </xf>
    <xf numFmtId="0" fontId="19" fillId="0" borderId="92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0" fillId="0" borderId="105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183" fontId="0" fillId="0" borderId="13" xfId="0" applyNumberFormat="1" applyFont="1" applyBorder="1" applyAlignment="1">
      <alignment horizontal="center"/>
    </xf>
    <xf numFmtId="183" fontId="0" fillId="0" borderId="90" xfId="0" applyNumberFormat="1" applyFont="1" applyBorder="1" applyAlignment="1">
      <alignment horizontal="center"/>
    </xf>
    <xf numFmtId="183" fontId="0" fillId="0" borderId="104" xfId="0" applyNumberFormat="1" applyFont="1" applyBorder="1" applyAlignment="1">
      <alignment horizontal="center"/>
    </xf>
    <xf numFmtId="183" fontId="0" fillId="0" borderId="92" xfId="0" applyNumberFormat="1" applyFont="1" applyBorder="1" applyAlignment="1">
      <alignment horizontal="center"/>
    </xf>
    <xf numFmtId="183" fontId="0" fillId="0" borderId="110" xfId="0" applyNumberFormat="1" applyFont="1" applyBorder="1" applyAlignment="1">
      <alignment horizontal="center"/>
    </xf>
    <xf numFmtId="183" fontId="0" fillId="0" borderId="105" xfId="0" applyNumberFormat="1" applyFont="1" applyBorder="1" applyAlignment="1">
      <alignment horizontal="center"/>
    </xf>
    <xf numFmtId="183" fontId="0" fillId="0" borderId="93" xfId="0" applyNumberFormat="1" applyFont="1" applyBorder="1" applyAlignment="1">
      <alignment horizontal="center"/>
    </xf>
    <xf numFmtId="183" fontId="0" fillId="0" borderId="60" xfId="0" applyNumberFormat="1" applyFont="1" applyBorder="1" applyAlignment="1">
      <alignment horizontal="left"/>
    </xf>
    <xf numFmtId="183" fontId="0" fillId="0" borderId="111" xfId="0" applyNumberFormat="1" applyFont="1" applyBorder="1" applyAlignment="1">
      <alignment horizontal="left"/>
    </xf>
    <xf numFmtId="183" fontId="0" fillId="0" borderId="107" xfId="0" applyNumberFormat="1" applyFont="1" applyBorder="1" applyAlignment="1">
      <alignment horizontal="left"/>
    </xf>
    <xf numFmtId="183" fontId="0" fillId="0" borderId="110" xfId="0" applyNumberFormat="1" applyFont="1" applyBorder="1" applyAlignment="1">
      <alignment horizontal="left"/>
    </xf>
    <xf numFmtId="183" fontId="0" fillId="0" borderId="112" xfId="0" applyNumberFormat="1" applyFont="1" applyBorder="1" applyAlignment="1">
      <alignment horizontal="left"/>
    </xf>
    <xf numFmtId="183" fontId="0" fillId="0" borderId="113" xfId="0" applyNumberFormat="1" applyFont="1" applyBorder="1" applyAlignment="1">
      <alignment horizontal="left"/>
    </xf>
    <xf numFmtId="183" fontId="0" fillId="0" borderId="114" xfId="0" applyNumberFormat="1" applyFont="1" applyBorder="1" applyAlignment="1">
      <alignment horizontal="left"/>
    </xf>
    <xf numFmtId="183" fontId="0" fillId="0" borderId="109" xfId="0" applyNumberFormat="1" applyFont="1" applyBorder="1" applyAlignment="1">
      <alignment horizontal="left"/>
    </xf>
    <xf numFmtId="183" fontId="0" fillId="0" borderId="49" xfId="0" applyNumberFormat="1" applyFont="1" applyBorder="1" applyAlignment="1">
      <alignment horizontal="left"/>
    </xf>
    <xf numFmtId="183" fontId="0" fillId="0" borderId="99" xfId="0" applyNumberFormat="1" applyFont="1" applyBorder="1" applyAlignment="1">
      <alignment horizontal="left"/>
    </xf>
    <xf numFmtId="183" fontId="0" fillId="0" borderId="90" xfId="0" applyNumberFormat="1" applyFont="1" applyBorder="1" applyAlignment="1">
      <alignment horizontal="left"/>
    </xf>
    <xf numFmtId="183" fontId="0" fillId="0" borderId="91" xfId="0" applyNumberFormat="1" applyFont="1" applyBorder="1" applyAlignment="1">
      <alignment horizontal="left"/>
    </xf>
    <xf numFmtId="183" fontId="0" fillId="0" borderId="23" xfId="0" applyNumberFormat="1" applyFont="1" applyBorder="1" applyAlignment="1">
      <alignment horizontal="left"/>
    </xf>
    <xf numFmtId="183" fontId="0" fillId="0" borderId="100" xfId="0" applyNumberFormat="1" applyFont="1" applyBorder="1" applyAlignment="1">
      <alignment horizontal="left"/>
    </xf>
    <xf numFmtId="183" fontId="0" fillId="0" borderId="92" xfId="0" applyNumberFormat="1" applyFont="1" applyBorder="1" applyAlignment="1">
      <alignment horizontal="left"/>
    </xf>
    <xf numFmtId="183" fontId="0" fillId="0" borderId="93" xfId="0" applyNumberFormat="1" applyFont="1" applyBorder="1" applyAlignment="1">
      <alignment horizontal="left"/>
    </xf>
    <xf numFmtId="184" fontId="0" fillId="0" borderId="102" xfId="27" applyNumberFormat="1" applyFont="1" applyBorder="1" applyAlignment="1">
      <alignment horizontal="center"/>
    </xf>
    <xf numFmtId="184" fontId="0" fillId="0" borderId="91" xfId="27" applyNumberFormat="1" applyFont="1" applyBorder="1" applyAlignment="1">
      <alignment horizontal="center"/>
    </xf>
    <xf numFmtId="44" fontId="0" fillId="0" borderId="0" xfId="18" applyBorder="1" applyAlignment="1">
      <alignment/>
    </xf>
    <xf numFmtId="0" fontId="1" fillId="3" borderId="27" xfId="0" applyFont="1" applyFill="1" applyBorder="1" applyAlignment="1">
      <alignment/>
    </xf>
    <xf numFmtId="44" fontId="1" fillId="3" borderId="27" xfId="18" applyFont="1" applyFill="1" applyBorder="1" applyAlignment="1">
      <alignment/>
    </xf>
    <xf numFmtId="0" fontId="0" fillId="3" borderId="20" xfId="0" applyFill="1" applyBorder="1" applyAlignment="1">
      <alignment/>
    </xf>
    <xf numFmtId="0" fontId="1" fillId="3" borderId="20" xfId="0" applyFont="1" applyFill="1" applyBorder="1" applyAlignment="1">
      <alignment/>
    </xf>
    <xf numFmtId="44" fontId="0" fillId="3" borderId="20" xfId="18" applyFont="1" applyFill="1" applyBorder="1" applyAlignment="1">
      <alignment/>
    </xf>
    <xf numFmtId="44" fontId="1" fillId="3" borderId="20" xfId="18" applyFont="1" applyFill="1" applyBorder="1" applyAlignment="1">
      <alignment/>
    </xf>
    <xf numFmtId="44" fontId="0" fillId="3" borderId="20" xfId="18" applyFill="1" applyBorder="1" applyAlignment="1">
      <alignment/>
    </xf>
    <xf numFmtId="0" fontId="1" fillId="4" borderId="27" xfId="0" applyFont="1" applyFill="1" applyBorder="1" applyAlignment="1">
      <alignment/>
    </xf>
    <xf numFmtId="44" fontId="1" fillId="4" borderId="27" xfId="18" applyFont="1" applyFill="1" applyBorder="1" applyAlignment="1">
      <alignment/>
    </xf>
    <xf numFmtId="0" fontId="0" fillId="4" borderId="20" xfId="0" applyFill="1" applyBorder="1" applyAlignment="1">
      <alignment/>
    </xf>
    <xf numFmtId="44" fontId="0" fillId="4" borderId="20" xfId="18" applyFill="1" applyBorder="1" applyAlignment="1">
      <alignment/>
    </xf>
    <xf numFmtId="0" fontId="0" fillId="4" borderId="20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44" fontId="1" fillId="4" borderId="20" xfId="18" applyFont="1" applyFill="1" applyBorder="1" applyAlignment="1">
      <alignment/>
    </xf>
    <xf numFmtId="0" fontId="1" fillId="5" borderId="27" xfId="0" applyFont="1" applyFill="1" applyBorder="1" applyAlignment="1">
      <alignment/>
    </xf>
    <xf numFmtId="44" fontId="1" fillId="5" borderId="27" xfId="18" applyFont="1" applyFill="1" applyBorder="1" applyAlignment="1">
      <alignment/>
    </xf>
    <xf numFmtId="0" fontId="0" fillId="5" borderId="20" xfId="0" applyFill="1" applyBorder="1" applyAlignment="1">
      <alignment/>
    </xf>
    <xf numFmtId="44" fontId="0" fillId="5" borderId="20" xfId="18" applyFill="1" applyBorder="1" applyAlignment="1">
      <alignment/>
    </xf>
    <xf numFmtId="0" fontId="1" fillId="5" borderId="20" xfId="0" applyFont="1" applyFill="1" applyBorder="1" applyAlignment="1">
      <alignment/>
    </xf>
    <xf numFmtId="44" fontId="0" fillId="5" borderId="20" xfId="18" applyFont="1" applyFill="1" applyBorder="1" applyAlignment="1">
      <alignment/>
    </xf>
    <xf numFmtId="0" fontId="1" fillId="6" borderId="27" xfId="0" applyFont="1" applyFill="1" applyBorder="1" applyAlignment="1">
      <alignment/>
    </xf>
    <xf numFmtId="44" fontId="1" fillId="6" borderId="27" xfId="18" applyFont="1" applyFill="1" applyBorder="1" applyAlignment="1">
      <alignment/>
    </xf>
    <xf numFmtId="0" fontId="0" fillId="6" borderId="20" xfId="0" applyFill="1" applyBorder="1" applyAlignment="1">
      <alignment/>
    </xf>
    <xf numFmtId="44" fontId="0" fillId="6" borderId="20" xfId="18" applyFill="1" applyBorder="1" applyAlignment="1">
      <alignment/>
    </xf>
    <xf numFmtId="0" fontId="1" fillId="6" borderId="20" xfId="0" applyFont="1" applyFill="1" applyBorder="1" applyAlignment="1">
      <alignment/>
    </xf>
    <xf numFmtId="44" fontId="0" fillId="6" borderId="20" xfId="18" applyFont="1" applyFill="1" applyBorder="1" applyAlignment="1">
      <alignment/>
    </xf>
    <xf numFmtId="0" fontId="1" fillId="7" borderId="27" xfId="0" applyFont="1" applyFill="1" applyBorder="1" applyAlignment="1">
      <alignment/>
    </xf>
    <xf numFmtId="44" fontId="1" fillId="7" borderId="27" xfId="18" applyFont="1" applyFill="1" applyBorder="1" applyAlignment="1">
      <alignment/>
    </xf>
    <xf numFmtId="0" fontId="0" fillId="7" borderId="20" xfId="0" applyFill="1" applyBorder="1" applyAlignment="1">
      <alignment/>
    </xf>
    <xf numFmtId="44" fontId="0" fillId="7" borderId="20" xfId="18" applyFill="1" applyBorder="1" applyAlignment="1">
      <alignment/>
    </xf>
    <xf numFmtId="0" fontId="1" fillId="7" borderId="20" xfId="0" applyFont="1" applyFill="1" applyBorder="1" applyAlignment="1">
      <alignment/>
    </xf>
    <xf numFmtId="44" fontId="0" fillId="7" borderId="20" xfId="18" applyFont="1" applyFill="1" applyBorder="1" applyAlignment="1">
      <alignment/>
    </xf>
    <xf numFmtId="44" fontId="1" fillId="7" borderId="20" xfId="18" applyFont="1" applyFill="1" applyBorder="1" applyAlignment="1">
      <alignment/>
    </xf>
    <xf numFmtId="0" fontId="1" fillId="8" borderId="27" xfId="0" applyFont="1" applyFill="1" applyBorder="1" applyAlignment="1">
      <alignment/>
    </xf>
    <xf numFmtId="44" fontId="1" fillId="8" borderId="27" xfId="18" applyFont="1" applyFill="1" applyBorder="1" applyAlignment="1">
      <alignment/>
    </xf>
    <xf numFmtId="0" fontId="0" fillId="8" borderId="20" xfId="0" applyFill="1" applyBorder="1" applyAlignment="1">
      <alignment/>
    </xf>
    <xf numFmtId="44" fontId="0" fillId="8" borderId="20" xfId="18" applyFill="1" applyBorder="1" applyAlignment="1">
      <alignment/>
    </xf>
    <xf numFmtId="0" fontId="1" fillId="9" borderId="27" xfId="0" applyFont="1" applyFill="1" applyBorder="1" applyAlignment="1">
      <alignment/>
    </xf>
    <xf numFmtId="44" fontId="1" fillId="9" borderId="27" xfId="18" applyFont="1" applyFill="1" applyBorder="1" applyAlignment="1">
      <alignment/>
    </xf>
    <xf numFmtId="0" fontId="0" fillId="9" borderId="20" xfId="0" applyFont="1" applyFill="1" applyBorder="1" applyAlignment="1">
      <alignment/>
    </xf>
    <xf numFmtId="0" fontId="0" fillId="9" borderId="20" xfId="0" applyFill="1" applyBorder="1" applyAlignment="1">
      <alignment/>
    </xf>
    <xf numFmtId="44" fontId="0" fillId="9" borderId="20" xfId="18" applyFill="1" applyBorder="1" applyAlignment="1">
      <alignment/>
    </xf>
    <xf numFmtId="0" fontId="1" fillId="9" borderId="20" xfId="0" applyFont="1" applyFill="1" applyBorder="1" applyAlignment="1">
      <alignment/>
    </xf>
    <xf numFmtId="44" fontId="0" fillId="9" borderId="20" xfId="18" applyFont="1" applyFill="1" applyBorder="1" applyAlignment="1">
      <alignment/>
    </xf>
    <xf numFmtId="0" fontId="1" fillId="10" borderId="27" xfId="0" applyFont="1" applyFill="1" applyBorder="1" applyAlignment="1">
      <alignment/>
    </xf>
    <xf numFmtId="44" fontId="1" fillId="10" borderId="27" xfId="18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10" borderId="20" xfId="0" applyFill="1" applyBorder="1" applyAlignment="1">
      <alignment/>
    </xf>
    <xf numFmtId="44" fontId="0" fillId="10" borderId="20" xfId="18" applyFill="1" applyBorder="1" applyAlignment="1">
      <alignment/>
    </xf>
    <xf numFmtId="0" fontId="1" fillId="10" borderId="20" xfId="0" applyFont="1" applyFill="1" applyBorder="1" applyAlignment="1">
      <alignment/>
    </xf>
    <xf numFmtId="44" fontId="0" fillId="10" borderId="20" xfId="18" applyFont="1" applyFill="1" applyBorder="1" applyAlignment="1">
      <alignment/>
    </xf>
    <xf numFmtId="0" fontId="1" fillId="11" borderId="27" xfId="0" applyFont="1" applyFill="1" applyBorder="1" applyAlignment="1">
      <alignment/>
    </xf>
    <xf numFmtId="44" fontId="1" fillId="11" borderId="27" xfId="18" applyFont="1" applyFill="1" applyBorder="1" applyAlignment="1">
      <alignment/>
    </xf>
    <xf numFmtId="0" fontId="0" fillId="11" borderId="20" xfId="0" applyFill="1" applyBorder="1" applyAlignment="1">
      <alignment/>
    </xf>
    <xf numFmtId="44" fontId="0" fillId="11" borderId="20" xfId="18" applyFill="1" applyBorder="1" applyAlignment="1">
      <alignment/>
    </xf>
    <xf numFmtId="0" fontId="1" fillId="12" borderId="27" xfId="0" applyFont="1" applyFill="1" applyBorder="1" applyAlignment="1">
      <alignment/>
    </xf>
    <xf numFmtId="44" fontId="1" fillId="12" borderId="27" xfId="18" applyFont="1" applyFill="1" applyBorder="1" applyAlignment="1">
      <alignment/>
    </xf>
    <xf numFmtId="0" fontId="0" fillId="12" borderId="20" xfId="0" applyFont="1" applyFill="1" applyBorder="1" applyAlignment="1">
      <alignment/>
    </xf>
    <xf numFmtId="0" fontId="0" fillId="12" borderId="20" xfId="0" applyFill="1" applyBorder="1" applyAlignment="1">
      <alignment/>
    </xf>
    <xf numFmtId="44" fontId="0" fillId="12" borderId="20" xfId="18" applyFill="1" applyBorder="1" applyAlignment="1">
      <alignment/>
    </xf>
    <xf numFmtId="44" fontId="0" fillId="0" borderId="0" xfId="18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41" xfId="0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5" fontId="0" fillId="0" borderId="25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22" fillId="0" borderId="20" xfId="0" applyNumberFormat="1" applyFont="1" applyBorder="1" applyAlignment="1">
      <alignment horizontal="center"/>
    </xf>
    <xf numFmtId="165" fontId="22" fillId="0" borderId="21" xfId="0" applyNumberFormat="1" applyFont="1" applyBorder="1" applyAlignment="1">
      <alignment horizontal="center"/>
    </xf>
    <xf numFmtId="44" fontId="0" fillId="8" borderId="20" xfId="18" applyFont="1" applyFill="1" applyBorder="1" applyAlignment="1">
      <alignment/>
    </xf>
    <xf numFmtId="0" fontId="8" fillId="0" borderId="97" xfId="0" applyFont="1" applyBorder="1" applyAlignment="1">
      <alignment horizontal="right"/>
    </xf>
    <xf numFmtId="44" fontId="0" fillId="5" borderId="20" xfId="18" applyFont="1" applyFill="1" applyBorder="1" applyAlignment="1">
      <alignment/>
    </xf>
    <xf numFmtId="44" fontId="0" fillId="6" borderId="20" xfId="18" applyFont="1" applyFill="1" applyBorder="1" applyAlignment="1">
      <alignment/>
    </xf>
    <xf numFmtId="44" fontId="0" fillId="3" borderId="20" xfId="18" applyFont="1" applyFill="1" applyBorder="1" applyAlignment="1">
      <alignment/>
    </xf>
    <xf numFmtId="0" fontId="0" fillId="5" borderId="20" xfId="0" applyFont="1" applyFill="1" applyBorder="1" applyAlignment="1">
      <alignment/>
    </xf>
    <xf numFmtId="165" fontId="0" fillId="0" borderId="115" xfId="0" applyNumberFormat="1" applyFont="1" applyBorder="1" applyAlignment="1">
      <alignment horizontal="center"/>
    </xf>
    <xf numFmtId="165" fontId="0" fillId="0" borderId="107" xfId="0" applyNumberFormat="1" applyFont="1" applyBorder="1" applyAlignment="1">
      <alignment horizontal="center"/>
    </xf>
    <xf numFmtId="165" fontId="0" fillId="0" borderId="103" xfId="0" applyNumberFormat="1" applyFont="1" applyBorder="1" applyAlignment="1">
      <alignment horizontal="center"/>
    </xf>
    <xf numFmtId="165" fontId="0" fillId="0" borderId="104" xfId="0" applyNumberFormat="1" applyFont="1" applyBorder="1" applyAlignment="1">
      <alignment horizontal="center"/>
    </xf>
    <xf numFmtId="165" fontId="0" fillId="0" borderId="106" xfId="0" applyNumberFormat="1" applyFont="1" applyBorder="1" applyAlignment="1">
      <alignment horizontal="center"/>
    </xf>
    <xf numFmtId="165" fontId="0" fillId="0" borderId="9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 quotePrefix="1">
      <alignment/>
    </xf>
    <xf numFmtId="13" fontId="1" fillId="13" borderId="20" xfId="0" applyNumberFormat="1" applyFont="1" applyFill="1" applyBorder="1" applyAlignment="1">
      <alignment horizontal="center"/>
    </xf>
    <xf numFmtId="0" fontId="1" fillId="13" borderId="20" xfId="0" applyFont="1" applyFill="1" applyBorder="1" applyAlignment="1">
      <alignment/>
    </xf>
    <xf numFmtId="13" fontId="8" fillId="13" borderId="20" xfId="0" applyNumberFormat="1" applyFont="1" applyFill="1" applyBorder="1" applyAlignment="1">
      <alignment horizontal="center"/>
    </xf>
    <xf numFmtId="0" fontId="8" fillId="13" borderId="20" xfId="0" applyNumberFormat="1" applyFont="1" applyFill="1" applyBorder="1" applyAlignment="1">
      <alignment/>
    </xf>
    <xf numFmtId="0" fontId="8" fillId="13" borderId="20" xfId="0" applyFont="1" applyFill="1" applyBorder="1" applyAlignment="1">
      <alignment/>
    </xf>
    <xf numFmtId="13" fontId="23" fillId="13" borderId="20" xfId="0" applyNumberFormat="1" applyFont="1" applyFill="1" applyBorder="1" applyAlignment="1">
      <alignment horizontal="center"/>
    </xf>
    <xf numFmtId="13" fontId="24" fillId="13" borderId="20" xfId="0" applyNumberFormat="1" applyFont="1" applyFill="1" applyBorder="1" applyAlignment="1">
      <alignment horizontal="center"/>
    </xf>
    <xf numFmtId="0" fontId="23" fillId="13" borderId="20" xfId="0" applyNumberFormat="1" applyFont="1" applyFill="1" applyBorder="1" applyAlignment="1">
      <alignment/>
    </xf>
    <xf numFmtId="0" fontId="23" fillId="13" borderId="20" xfId="0" applyFont="1" applyFill="1" applyBorder="1" applyAlignment="1">
      <alignment/>
    </xf>
    <xf numFmtId="13" fontId="17" fillId="13" borderId="20" xfId="0" applyNumberFormat="1" applyFont="1" applyFill="1" applyBorder="1" applyAlignment="1">
      <alignment horizontal="center"/>
    </xf>
    <xf numFmtId="0" fontId="17" fillId="13" borderId="20" xfId="0" applyNumberFormat="1" applyFont="1" applyFill="1" applyBorder="1" applyAlignment="1">
      <alignment/>
    </xf>
    <xf numFmtId="0" fontId="17" fillId="13" borderId="20" xfId="0" applyFont="1" applyFill="1" applyBorder="1" applyAlignment="1">
      <alignment/>
    </xf>
    <xf numFmtId="13" fontId="21" fillId="13" borderId="20" xfId="0" applyNumberFormat="1" applyFont="1" applyFill="1" applyBorder="1" applyAlignment="1">
      <alignment horizontal="center"/>
    </xf>
    <xf numFmtId="13" fontId="25" fillId="13" borderId="20" xfId="0" applyNumberFormat="1" applyFont="1" applyFill="1" applyBorder="1" applyAlignment="1">
      <alignment horizontal="center"/>
    </xf>
    <xf numFmtId="0" fontId="21" fillId="13" borderId="20" xfId="0" applyNumberFormat="1" applyFont="1" applyFill="1" applyBorder="1" applyAlignment="1">
      <alignment/>
    </xf>
    <xf numFmtId="0" fontId="21" fillId="13" borderId="20" xfId="0" applyFont="1" applyFill="1" applyBorder="1" applyAlignment="1">
      <alignment/>
    </xf>
    <xf numFmtId="13" fontId="0" fillId="13" borderId="20" xfId="0" applyNumberFormat="1" applyFont="1" applyFill="1" applyBorder="1" applyAlignment="1">
      <alignment horizontal="center"/>
    </xf>
    <xf numFmtId="0" fontId="0" fillId="13" borderId="20" xfId="0" applyFont="1" applyFill="1" applyBorder="1" applyAlignment="1">
      <alignment/>
    </xf>
    <xf numFmtId="13" fontId="0" fillId="13" borderId="20" xfId="0" applyNumberFormat="1" applyFill="1" applyBorder="1" applyAlignment="1">
      <alignment horizontal="center"/>
    </xf>
    <xf numFmtId="0" fontId="0" fillId="13" borderId="20" xfId="0" applyNumberFormat="1" applyFill="1" applyBorder="1" applyAlignment="1">
      <alignment/>
    </xf>
    <xf numFmtId="0" fontId="0" fillId="13" borderId="20" xfId="0" applyFill="1" applyBorder="1" applyAlignment="1">
      <alignment/>
    </xf>
    <xf numFmtId="44" fontId="4" fillId="4" borderId="20" xfId="26" applyFill="1" applyBorder="1" applyAlignment="1">
      <alignment/>
    </xf>
    <xf numFmtId="44" fontId="4" fillId="7" borderId="20" xfId="26" applyFill="1" applyBorder="1" applyAlignment="1">
      <alignment/>
    </xf>
    <xf numFmtId="44" fontId="4" fillId="8" borderId="20" xfId="26" applyFill="1" applyBorder="1" applyAlignment="1">
      <alignment/>
    </xf>
    <xf numFmtId="44" fontId="4" fillId="12" borderId="20" xfId="26" applyFill="1" applyBorder="1" applyAlignment="1">
      <alignment/>
    </xf>
    <xf numFmtId="0" fontId="4" fillId="12" borderId="20" xfId="26" applyFill="1" applyBorder="1" applyAlignment="1">
      <alignment/>
    </xf>
    <xf numFmtId="0" fontId="1" fillId="7" borderId="48" xfId="0" applyFont="1" applyFill="1" applyBorder="1" applyAlignment="1">
      <alignment horizontal="left"/>
    </xf>
    <xf numFmtId="0" fontId="0" fillId="7" borderId="50" xfId="0" applyFill="1" applyBorder="1" applyAlignment="1">
      <alignment horizontal="left"/>
    </xf>
    <xf numFmtId="0" fontId="1" fillId="8" borderId="48" xfId="0" applyFont="1" applyFill="1" applyBorder="1" applyAlignment="1">
      <alignment horizontal="left"/>
    </xf>
    <xf numFmtId="0" fontId="0" fillId="8" borderId="50" xfId="0" applyFill="1" applyBorder="1" applyAlignment="1">
      <alignment horizontal="left"/>
    </xf>
    <xf numFmtId="0" fontId="1" fillId="11" borderId="48" xfId="0" applyFont="1" applyFill="1" applyBorder="1" applyAlignment="1">
      <alignment horizontal="left"/>
    </xf>
    <xf numFmtId="0" fontId="0" fillId="11" borderId="50" xfId="0" applyFill="1" applyBorder="1" applyAlignment="1">
      <alignment horizontal="left"/>
    </xf>
    <xf numFmtId="0" fontId="1" fillId="9" borderId="48" xfId="0" applyFont="1" applyFill="1" applyBorder="1" applyAlignment="1">
      <alignment horizontal="left"/>
    </xf>
    <xf numFmtId="0" fontId="0" fillId="9" borderId="50" xfId="0" applyFill="1" applyBorder="1" applyAlignment="1">
      <alignment horizontal="left"/>
    </xf>
    <xf numFmtId="0" fontId="1" fillId="12" borderId="48" xfId="0" applyFont="1" applyFill="1" applyBorder="1" applyAlignment="1">
      <alignment horizontal="left"/>
    </xf>
    <xf numFmtId="0" fontId="0" fillId="12" borderId="50" xfId="0" applyFill="1" applyBorder="1" applyAlignment="1">
      <alignment horizontal="left"/>
    </xf>
    <xf numFmtId="0" fontId="1" fillId="10" borderId="48" xfId="0" applyFont="1" applyFill="1" applyBorder="1" applyAlignment="1">
      <alignment horizontal="left"/>
    </xf>
    <xf numFmtId="0" fontId="0" fillId="10" borderId="5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3" borderId="48" xfId="0" applyFont="1" applyFill="1" applyBorder="1" applyAlignment="1">
      <alignment horizontal="left"/>
    </xf>
    <xf numFmtId="0" fontId="0" fillId="3" borderId="50" xfId="0" applyFill="1" applyBorder="1" applyAlignment="1">
      <alignment horizontal="left"/>
    </xf>
    <xf numFmtId="0" fontId="1" fillId="4" borderId="48" xfId="0" applyFont="1" applyFill="1" applyBorder="1" applyAlignment="1">
      <alignment horizontal="left"/>
    </xf>
    <xf numFmtId="0" fontId="0" fillId="4" borderId="50" xfId="0" applyFill="1" applyBorder="1" applyAlignment="1">
      <alignment horizontal="left"/>
    </xf>
    <xf numFmtId="0" fontId="1" fillId="5" borderId="48" xfId="0" applyFont="1" applyFill="1" applyBorder="1" applyAlignment="1">
      <alignment horizontal="left"/>
    </xf>
    <xf numFmtId="0" fontId="0" fillId="5" borderId="50" xfId="0" applyFill="1" applyBorder="1" applyAlignment="1">
      <alignment horizontal="left"/>
    </xf>
    <xf numFmtId="0" fontId="1" fillId="6" borderId="48" xfId="0" applyFont="1" applyFill="1" applyBorder="1" applyAlignment="1">
      <alignment horizontal="left"/>
    </xf>
    <xf numFmtId="0" fontId="0" fillId="6" borderId="50" xfId="0" applyFill="1" applyBorder="1" applyAlignment="1">
      <alignment horizontal="left"/>
    </xf>
    <xf numFmtId="0" fontId="1" fillId="0" borderId="116" xfId="0" applyFont="1" applyBorder="1" applyAlignment="1">
      <alignment horizontal="right" vertical="center" textRotation="90"/>
    </xf>
    <xf numFmtId="0" fontId="1" fillId="0" borderId="117" xfId="0" applyFont="1" applyBorder="1" applyAlignment="1">
      <alignment horizontal="right" vertical="center" textRotation="90"/>
    </xf>
    <xf numFmtId="0" fontId="1" fillId="0" borderId="118" xfId="0" applyFont="1" applyBorder="1" applyAlignment="1">
      <alignment horizontal="right" vertical="center" textRotation="90"/>
    </xf>
    <xf numFmtId="0" fontId="1" fillId="0" borderId="116" xfId="0" applyFont="1" applyBorder="1" applyAlignment="1">
      <alignment horizontal="center" vertical="center" textRotation="90"/>
    </xf>
    <xf numFmtId="0" fontId="1" fillId="0" borderId="117" xfId="0" applyFont="1" applyBorder="1" applyAlignment="1">
      <alignment horizontal="center" vertical="center" textRotation="90"/>
    </xf>
    <xf numFmtId="0" fontId="1" fillId="0" borderId="118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26" fillId="0" borderId="0" xfId="0" applyFont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</xdr:row>
      <xdr:rowOff>0</xdr:rowOff>
    </xdr:from>
    <xdr:to>
      <xdr:col>1</xdr:col>
      <xdr:colOff>95250</xdr:colOff>
      <xdr:row>45</xdr:row>
      <xdr:rowOff>9525</xdr:rowOff>
    </xdr:to>
    <xdr:pic>
      <xdr:nvPicPr>
        <xdr:cNvPr id="1" name="Picture 1" descr="p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3914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</xdr:rowOff>
    </xdr:to>
    <xdr:pic>
      <xdr:nvPicPr>
        <xdr:cNvPr id="2" name="Picture 2" descr="p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</xdr:rowOff>
    </xdr:to>
    <xdr:pic>
      <xdr:nvPicPr>
        <xdr:cNvPr id="3" name="Picture 3" descr="p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4288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beveragepeople.com/" TargetMode="External" /><Relationship Id="rId2" Type="http://schemas.openxmlformats.org/officeDocument/2006/relationships/hyperlink" Target="http://www.williamsbrewing.com/" TargetMode="External" /><Relationship Id="rId3" Type="http://schemas.openxmlformats.org/officeDocument/2006/relationships/hyperlink" Target="http://www.brewhut.com/" TargetMode="External" /><Relationship Id="rId4" Type="http://schemas.openxmlformats.org/officeDocument/2006/relationships/hyperlink" Target="http://www.usplastic.com/catalog/search.asp?" TargetMode="External" /><Relationship Id="rId5" Type="http://schemas.openxmlformats.org/officeDocument/2006/relationships/hyperlink" Target="http://www.rapidswholesale.com/" TargetMode="External" /><Relationship Id="rId6" Type="http://schemas.openxmlformats.org/officeDocument/2006/relationships/hyperlink" Target="http://www.ebrew.com/systems/brewing_systems.htm#system_up-grades" TargetMode="External" /><Relationship Id="rId7" Type="http://schemas.openxmlformats.org/officeDocument/2006/relationships/hyperlink" Target="http://www.mrbeer.com/" TargetMode="External" /><Relationship Id="rId8" Type="http://schemas.openxmlformats.org/officeDocument/2006/relationships/hyperlink" Target="http://www.morebeer.com/browse.html?category_id=2440&amp;keyword=&amp;x=1&amp;y=1" TargetMode="External" /><Relationship Id="rId9" Type="http://schemas.openxmlformats.org/officeDocument/2006/relationships/hyperlink" Target="http://www.austinhomebrew.com/" TargetMode="External" /><Relationship Id="rId10" Type="http://schemas.openxmlformats.org/officeDocument/2006/relationships/hyperlink" Target="http://www.northernbrewer.com/" TargetMode="External" /><Relationship Id="rId11" Type="http://schemas.openxmlformats.org/officeDocument/2006/relationships/hyperlink" Target="http://www.breworganic.com/" TargetMode="External" /><Relationship Id="rId12" Type="http://schemas.openxmlformats.org/officeDocument/2006/relationships/hyperlink" Target="http://www.stpats.com/kegsys.htm" TargetMode="External" /><Relationship Id="rId13" Type="http://schemas.openxmlformats.org/officeDocument/2006/relationships/hyperlink" Target="http://micromatic.com/" TargetMode="Externa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uestemwine.com/Merchant2/merchant.mvc?Screen=PROD&amp;Product_Code=03-54320&amp;Category_Code=CRVTESTNG" TargetMode="External" /><Relationship Id="rId2" Type="http://schemas.openxmlformats.org/officeDocument/2006/relationships/hyperlink" Target="http://bluestemwine.com/Merchant2/merchant.mvc?Screen=PROD&amp;Product_Code=03-45760&amp;Category_Code=DLTLABELP" TargetMode="External" /><Relationship Id="rId3" Type="http://schemas.openxmlformats.org/officeDocument/2006/relationships/hyperlink" Target="http://store.brewhut.com/index.asp?PageAction=VIEWPROD&amp;ProdID=260" TargetMode="External" /><Relationship Id="rId4" Type="http://schemas.openxmlformats.org/officeDocument/2006/relationships/hyperlink" Target="http://store.brewhut.com/index.asp?PageAction=VIEWPROD&amp;ProdID=261" TargetMode="External" /><Relationship Id="rId5" Type="http://schemas.openxmlformats.org/officeDocument/2006/relationships/hyperlink" Target="http://www.williamsbrewing.com/LOW_PRESSURE_BURNER_P418.cfm" TargetMode="External" /><Relationship Id="rId6" Type="http://schemas.openxmlformats.org/officeDocument/2006/relationships/hyperlink" Target="http://www.williamsbrewing.com/GILDA_CORKER_P1299.cfm" TargetMode="External" /><Relationship Id="rId7" Type="http://schemas.openxmlformats.org/officeDocument/2006/relationships/hyperlink" Target="http://www.williamsbrewing.com/WILLIAM_S_MASHING_SYSTEM_P191.cfm" TargetMode="External" /><Relationship Id="rId8" Type="http://schemas.openxmlformats.org/officeDocument/2006/relationships/hyperlink" Target="http://www.williamsbrewing.com/STARR_CLASSIC_OPENER_P207C46.cfm" TargetMode="External" /><Relationship Id="rId9" Type="http://schemas.openxmlformats.org/officeDocument/2006/relationships/hyperlink" Target="http://www.williamsbrewing.com/WYEAST_BEER_YEAST_NUTRIENT_1_5_P2C108.cfm" TargetMode="External" /><Relationship Id="rId10" Type="http://schemas.openxmlformats.org/officeDocument/2006/relationships/hyperlink" Target="http://www.williamsbrewing.com/1_LITER_CLASSIC_GLASS_SELTZER__P1194C126.cfm" TargetMode="External" /><Relationship Id="rId11" Type="http://schemas.openxmlformats.org/officeDocument/2006/relationships/hyperlink" Target="http://www.williamsbrewing.com/THE_THIEF_P435.cfm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liamsbrewing.com/" TargetMode="External" /><Relationship Id="rId2" Type="http://schemas.openxmlformats.org/officeDocument/2006/relationships/hyperlink" Target="http://bluestemwine.com/Merchant2/merchant.mvc?Screen=PROD&amp;Product_Code=03-48000&amp;Category_Code=DMVWASHER" TargetMode="External" /><Relationship Id="rId3" Type="http://schemas.openxmlformats.org/officeDocument/2006/relationships/hyperlink" Target="http://www.breworganic.com/index.asp?PageAction=VIEWPROD&amp;ProdID=507" TargetMode="External" /><Relationship Id="rId4" Type="http://schemas.openxmlformats.org/officeDocument/2006/relationships/hyperlink" Target="http://search.stores.ebay.com/search/search.dll?query=Home+Brew&amp;srchdesc=y&amp;sid=7729861&amp;store=BeverageFactory+Dot+Com&amp;colorid=0&amp;fp=0&amp;st=1&amp;fsoo=1&amp;fsop=1" TargetMode="External" /><Relationship Id="rId5" Type="http://schemas.openxmlformats.org/officeDocument/2006/relationships/hyperlink" Target="http://www.williamsbrewing.com/KEG_PRESSURE_TESTER_P715C109.cfm" TargetMode="External" /><Relationship Id="rId6" Type="http://schemas.openxmlformats.org/officeDocument/2006/relationships/hyperlink" Target="http://www.williamsbrewing.com/KEG_LUBE_P479C78.cfm" TargetMode="External" /><Relationship Id="rId7" Type="http://schemas.openxmlformats.org/officeDocument/2006/relationships/hyperlink" Target="http://bluestemwine.com/Merchant2/merchant.mvc?Screen=PROD&amp;Product_Code=03-54550&amp;Category_Code=CRHTHERMO" TargetMode="External" /><Relationship Id="rId8" Type="http://schemas.openxmlformats.org/officeDocument/2006/relationships/hyperlink" Target="http://www.breworganic.com/index.asp?PageAction=VIEWPROD&amp;ProdID=581" TargetMode="External" /><Relationship Id="rId9" Type="http://schemas.openxmlformats.org/officeDocument/2006/relationships/hyperlink" Target="http://www.breworganic.com/index.asp?PageAction=VIEWPROD&amp;ProdID=582" TargetMode="External" /><Relationship Id="rId10" Type="http://schemas.openxmlformats.org/officeDocument/2006/relationships/hyperlink" Target="http://www.hoptech.com/cart/cart.php?target=product&amp;product_id=16372&amp;category_id=279" TargetMode="Externa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tore.mrbeer.com/bewredale3.html" TargetMode="External" /><Relationship Id="rId2" Type="http://schemas.openxmlformats.org/officeDocument/2006/relationships/hyperlink" Target="http://store.mrbeer.com/ennutbrowale5.html" TargetMode="External" /><Relationship Id="rId3" Type="http://schemas.openxmlformats.org/officeDocument/2006/relationships/hyperlink" Target="http://store.mrbeer.com/okvienlag3.html" TargetMode="External" /><Relationship Id="rId4" Type="http://schemas.openxmlformats.org/officeDocument/2006/relationships/hyperlink" Target="http://store.mrbeer.com/wescoaspalal4.html" TargetMode="External" /><Relationship Id="rId5" Type="http://schemas.openxmlformats.org/officeDocument/2006/relationships/hyperlink" Target="http://store.mrbeer.com/whiswheatwie1.html" TargetMode="External" /><Relationship Id="rId6" Type="http://schemas.openxmlformats.org/officeDocument/2006/relationships/hyperlink" Target="http://store.mrbeer.com/stwioast.html" TargetMode="External" /><Relationship Id="rId7" Type="http://schemas.openxmlformats.org/officeDocument/2006/relationships/hyperlink" Target="http://store.mrbeer.com/hardciderpage.html" TargetMode="External" /><Relationship Id="rId8" Type="http://schemas.openxmlformats.org/officeDocument/2006/relationships/hyperlink" Target="http://store.mrbeer.com/creamybrown2.html" TargetMode="External" /><Relationship Id="rId9" Type="http://schemas.openxmlformats.org/officeDocument/2006/relationships/hyperlink" Target="http://store.mrbeer.com/goldenwheat.html" TargetMode="External" /><Relationship Id="rId10" Type="http://schemas.openxmlformats.org/officeDocument/2006/relationships/hyperlink" Target="http://bluestemwine.com/Merchant2/merchant.mvc?Screen=CTGY&amp;Category_Code=DAKDRYBYT" TargetMode="External" /><Relationship Id="rId11" Type="http://schemas.openxmlformats.org/officeDocument/2006/relationships/hyperlink" Target="http://bluestemwine.com/Merchant2/merchant.mvc?Screen=PROD&amp;Product_Code=07-20802&amp;Category_Code=DCKPELLET" TargetMode="External" /><Relationship Id="rId12" Type="http://schemas.openxmlformats.org/officeDocument/2006/relationships/hyperlink" Target="http://www.williamsbrewing.com/" TargetMode="External" /><Relationship Id="rId1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30"/>
  <sheetViews>
    <sheetView workbookViewId="0" topLeftCell="A2">
      <selection activeCell="C33" sqref="C33"/>
    </sheetView>
  </sheetViews>
  <sheetFormatPr defaultColWidth="9.140625" defaultRowHeight="12.75"/>
  <cols>
    <col min="1" max="1" width="34.7109375" style="0" customWidth="1"/>
    <col min="2" max="2" width="40.28125" style="0" bestFit="1" customWidth="1"/>
    <col min="3" max="3" width="36.28125" style="0" bestFit="1" customWidth="1"/>
    <col min="4" max="4" width="235.7109375" style="0" bestFit="1" customWidth="1"/>
  </cols>
  <sheetData>
    <row r="1" spans="1:4" ht="12.75" customHeight="1" hidden="1">
      <c r="A1" s="431"/>
      <c r="B1" s="431" t="s">
        <v>547</v>
      </c>
      <c r="C1" s="431" t="s">
        <v>559</v>
      </c>
      <c r="D1" s="431" t="s">
        <v>560</v>
      </c>
    </row>
    <row r="2" spans="1:4" ht="12.75">
      <c r="A2" s="2" t="s">
        <v>533</v>
      </c>
      <c r="D2" t="str">
        <f>IF(B2&gt;0,$B$1&amp;A2&amp;$C$1&amp;B2&amp;$D$1,A2)</f>
        <v>Simple Beer Equip, Ingred &amp; Kits</v>
      </c>
    </row>
    <row r="3" spans="1:4" ht="13.5">
      <c r="A3" s="1" t="s">
        <v>0</v>
      </c>
      <c r="B3" t="s">
        <v>179</v>
      </c>
      <c r="C3" t="s">
        <v>180</v>
      </c>
      <c r="D3" t="str">
        <f>IF(B3&gt;0,$B$1&amp;A3&amp;$C$1&amp;B3&amp;$D$1,A3)</f>
        <v>    &lt;font color="#000000"&gt;......&lt;/font&gt;&lt;a href="http://www.mrbeer.com/"&gt;Mr Beer&lt;/a&gt;&lt;br&gt;</v>
      </c>
    </row>
    <row r="4" spans="1:4" ht="12.75">
      <c r="A4" s="2" t="s">
        <v>534</v>
      </c>
      <c r="D4" t="str">
        <f aca="true" t="shared" si="0" ref="D4:D27">IF(B4&gt;0,$B$1&amp;A4&amp;$C$1&amp;B4&amp;$D$1,A4)</f>
        <v>Homebrew Suppliers</v>
      </c>
    </row>
    <row r="5" spans="1:4" ht="13.5">
      <c r="A5" s="1" t="s">
        <v>224</v>
      </c>
      <c r="B5" t="s">
        <v>225</v>
      </c>
      <c r="C5" t="s">
        <v>236</v>
      </c>
      <c r="D5" t="str">
        <f t="shared" si="0"/>
        <v>    &lt;font color="#000000"&gt;......&lt;/font&gt;&lt;a href="http://www.breworganic.com/"&gt;Seven Bridges coop Organic Home Brew&lt;/a&gt;&lt;br&gt;</v>
      </c>
    </row>
    <row r="6" spans="1:4" ht="13.5">
      <c r="A6" s="1" t="s">
        <v>230</v>
      </c>
      <c r="B6" t="s">
        <v>502</v>
      </c>
      <c r="C6" t="s">
        <v>235</v>
      </c>
      <c r="D6" t="str">
        <f t="shared" si="0"/>
        <v>    &lt;font color="#000000"&gt;......&lt;/font&gt;&lt;a href="http://www.thebeveragepeople.com/"&gt;The Beverage People&lt;/a&gt;&lt;br&gt;</v>
      </c>
    </row>
    <row r="7" spans="1:4" ht="13.5">
      <c r="A7" s="1" t="s">
        <v>406</v>
      </c>
      <c r="B7" t="s">
        <v>548</v>
      </c>
      <c r="D7" t="str">
        <f t="shared" si="0"/>
        <v>    &lt;font color="#000000"&gt;......&lt;/font&gt;&lt;a href="http://www.northernbrewer.com/"&gt;Northern Brewer&lt;/a&gt;&lt;br&gt;</v>
      </c>
    </row>
    <row r="8" spans="1:4" ht="13.5">
      <c r="A8" s="1" t="s">
        <v>407</v>
      </c>
      <c r="B8" t="s">
        <v>549</v>
      </c>
      <c r="D8" t="str">
        <f t="shared" si="0"/>
        <v>    &lt;font color="#000000"&gt;......&lt;/font&gt;&lt;a href="http://www.williamsbrewing.com"&gt;Williams Brewing&lt;/a&gt;&lt;br&gt;</v>
      </c>
    </row>
    <row r="9" spans="1:4" ht="13.5">
      <c r="A9" s="1" t="s">
        <v>537</v>
      </c>
      <c r="B9" t="s">
        <v>182</v>
      </c>
      <c r="C9" t="s">
        <v>181</v>
      </c>
      <c r="D9" t="str">
        <f t="shared" si="0"/>
        <v>    &lt;font color="#000000"&gt;......&lt;/font&gt;&lt;a href="http://bluestemwine.com/"&gt;BlueStem Winery &amp; Artisan Mall&lt;/a&gt;&lt;br&gt;</v>
      </c>
    </row>
    <row r="10" spans="1:4" ht="12.75">
      <c r="A10" t="s">
        <v>194</v>
      </c>
      <c r="B10" t="s">
        <v>195</v>
      </c>
      <c r="C10" t="s">
        <v>181</v>
      </c>
      <c r="D10" t="str">
        <f t="shared" si="0"/>
        <v>    &lt;font color="#000000"&gt;......&lt;/font&gt;&lt;a href="http://www.homebrewmart.com/"&gt;Home Brew Mart&lt;/a&gt;&lt;br&gt;</v>
      </c>
    </row>
    <row r="11" spans="1:4" ht="13.5">
      <c r="A11" s="1" t="s">
        <v>536</v>
      </c>
      <c r="B11" t="s">
        <v>196</v>
      </c>
      <c r="C11" t="s">
        <v>181</v>
      </c>
      <c r="D11" t="str">
        <f t="shared" si="0"/>
        <v>    &lt;font color="#000000"&gt;......&lt;/font&gt;&lt;a href="http://www.undergrounddigital.com/"&gt;Perfect Brewing Supply&lt;/a&gt;&lt;br&gt;</v>
      </c>
    </row>
    <row r="12" spans="1:4" ht="13.5">
      <c r="A12" s="1" t="s">
        <v>222</v>
      </c>
      <c r="B12" t="s">
        <v>223</v>
      </c>
      <c r="D12" t="str">
        <f t="shared" si="0"/>
        <v>    &lt;font color="#000000"&gt;......&lt;/font&gt;&lt;a href="http://www.austinhomebrew.com/"&gt;Austin Homebrew&lt;/a&gt;&lt;br&gt;</v>
      </c>
    </row>
    <row r="13" spans="1:4" ht="13.5">
      <c r="A13" s="1" t="s">
        <v>226</v>
      </c>
      <c r="B13" t="s">
        <v>228</v>
      </c>
      <c r="C13" t="s">
        <v>227</v>
      </c>
      <c r="D13" t="str">
        <f t="shared" si="0"/>
        <v>    &lt;font color="#000000"&gt;......&lt;/font&gt;&lt;a href="http://www.ebrew.com/systems/brewing_systems.htm#system_up-grades"&gt;Alternative Beverage&lt;/a&gt;&lt;br&gt;</v>
      </c>
    </row>
    <row r="14" spans="1:4" ht="13.5">
      <c r="A14" s="1" t="s">
        <v>544</v>
      </c>
      <c r="B14" t="s">
        <v>550</v>
      </c>
      <c r="D14" t="str">
        <f t="shared" si="0"/>
        <v>    &lt;font color="#000000"&gt;......&lt;/font&gt;&lt;a href="http://www.homebrewery.com/"&gt;Home Brewery.com&lt;/a&gt;&lt;br&gt;</v>
      </c>
    </row>
    <row r="15" spans="1:4" ht="12.75">
      <c r="A15" s="2" t="s">
        <v>535</v>
      </c>
      <c r="D15" t="str">
        <f t="shared" si="0"/>
        <v>Professional Grade Suppliers</v>
      </c>
    </row>
    <row r="16" spans="1:4" ht="13.5">
      <c r="A16" s="1" t="s">
        <v>218</v>
      </c>
      <c r="B16" t="s">
        <v>552</v>
      </c>
      <c r="C16" t="s">
        <v>219</v>
      </c>
      <c r="D16" t="str">
        <f t="shared" si="0"/>
        <v>    &lt;font color="#000000"&gt;......&lt;/font&gt;&lt;a href="http://www.morebeer.com/browse.html?category_id=2440&amp;keyword=&amp;x=1&amp;y=1"&gt;More Beer.com&lt;/a&gt;&lt;br&gt;</v>
      </c>
    </row>
    <row r="17" spans="1:4" ht="13.5">
      <c r="A17" s="1" t="s">
        <v>231</v>
      </c>
      <c r="B17" t="s">
        <v>553</v>
      </c>
      <c r="C17" t="s">
        <v>234</v>
      </c>
      <c r="D17" t="str">
        <f t="shared" si="0"/>
        <v>    &lt;font color="#000000"&gt;......&lt;/font&gt;&lt;a href="http://www.rapidswholesale.com/"&gt;Rapids Wholesale&lt;/a&gt;&lt;br&gt;</v>
      </c>
    </row>
    <row r="18" spans="1:4" ht="12.75">
      <c r="A18" t="s">
        <v>538</v>
      </c>
      <c r="B18" t="s">
        <v>554</v>
      </c>
      <c r="C18" t="s">
        <v>539</v>
      </c>
      <c r="D18" t="str">
        <f t="shared" si="0"/>
        <v>    &lt;font color="#000000"&gt;......&lt;/font&gt;&lt;a href="http://www.bdequipment.com/"&gt;BD Equipment&lt;/a&gt;&lt;br&gt;</v>
      </c>
    </row>
    <row r="19" spans="1:4" ht="13.5">
      <c r="A19" s="1" t="s">
        <v>542</v>
      </c>
      <c r="B19" t="s">
        <v>555</v>
      </c>
      <c r="C19" t="s">
        <v>543</v>
      </c>
      <c r="D19" t="str">
        <f t="shared" si="0"/>
        <v>    &lt;font color="#000000"&gt;......&lt;/font&gt;&lt;a href="http://micromatic.com/"&gt;Micromatic&lt;/a&gt;&lt;br&gt;</v>
      </c>
    </row>
    <row r="20" spans="1:4" ht="13.5">
      <c r="A20" s="1" t="s">
        <v>232</v>
      </c>
      <c r="B20" t="s">
        <v>556</v>
      </c>
      <c r="C20" t="s">
        <v>233</v>
      </c>
      <c r="D20" t="str">
        <f t="shared" si="0"/>
        <v>    &lt;font color="#000000"&gt;......&lt;/font&gt;&lt;a href="http://www.usplastic.com/catalog/search.asp?"&gt;US Plastic&lt;/a&gt;&lt;br&gt;</v>
      </c>
    </row>
    <row r="21" spans="1:4" ht="13.5">
      <c r="A21" s="1" t="s">
        <v>466</v>
      </c>
      <c r="B21" t="s">
        <v>557</v>
      </c>
      <c r="C21" t="s">
        <v>467</v>
      </c>
      <c r="D21" t="str">
        <f t="shared" si="0"/>
        <v>    &lt;font color="#000000"&gt;......&lt;/font&gt;&lt;a href="http://www.brewhut.com"&gt;Brewhut&lt;/a&gt;&lt;br&gt;</v>
      </c>
    </row>
    <row r="22" spans="1:4" ht="13.5">
      <c r="A22" s="1" t="s">
        <v>545</v>
      </c>
      <c r="B22" t="s">
        <v>558</v>
      </c>
      <c r="C22" t="s">
        <v>546</v>
      </c>
      <c r="D22" t="str">
        <f t="shared" si="0"/>
        <v>    &lt;font color="#000000"&gt;......&lt;/font&gt;&lt;a href="http://www.beveragefactory.com/"&gt;Beverave Factory&lt;/a&gt;&lt;br&gt;</v>
      </c>
    </row>
    <row r="23" spans="1:4" ht="12.75">
      <c r="A23" s="2" t="s">
        <v>189</v>
      </c>
      <c r="D23" t="str">
        <f t="shared" si="0"/>
        <v>Other</v>
      </c>
    </row>
    <row r="24" spans="1:4" ht="12.75">
      <c r="A24" t="s">
        <v>177</v>
      </c>
      <c r="B24" t="s">
        <v>176</v>
      </c>
      <c r="C24" t="s">
        <v>178</v>
      </c>
      <c r="D24" t="str">
        <f t="shared" si="0"/>
        <v>    &lt;font color="#000000"&gt;......&lt;/font&gt;&lt;a href="http://listings.ebay.com/Food-Wine_Beer-Wine-Making_W0QQcatrefZC4QQfromZR9QQfromZR9QQfsooZ1QQfsopZ1QQftrtZ1QQftrvZ1QQsacatZ38172QQsocmdZListingItemListQQsojsZ1"&gt;Ebay "Beer &amp; Winemaking"&lt;/a&gt;&lt;br&gt;</v>
      </c>
    </row>
    <row r="25" spans="1:4" ht="12.75">
      <c r="A25" s="2" t="s">
        <v>541</v>
      </c>
      <c r="D25" t="str">
        <f t="shared" si="0"/>
        <v>Brewing Info</v>
      </c>
    </row>
    <row r="26" spans="1:4" ht="12.75">
      <c r="A26" s="2" t="s">
        <v>540</v>
      </c>
      <c r="D26" t="str">
        <f t="shared" si="0"/>
        <v>Kegging Info</v>
      </c>
    </row>
    <row r="27" spans="1:4" ht="13.5">
      <c r="A27" s="1" t="s">
        <v>229</v>
      </c>
      <c r="B27" t="s">
        <v>551</v>
      </c>
      <c r="C27" t="s">
        <v>551</v>
      </c>
      <c r="D27" t="str">
        <f t="shared" si="0"/>
        <v>    &lt;font color="#000000"&gt;......&lt;/font&gt;&lt;a href="http://www.stpats.com/kegsys.htm"&gt;Kegging Systems&lt;/a&gt;&lt;br&gt;</v>
      </c>
    </row>
    <row r="28" ht="12.75">
      <c r="D28">
        <f>IF(B28&gt;0,$B$1&amp;A28&amp;$C$1&amp;B28&amp;$D$1,"")</f>
      </c>
    </row>
    <row r="29" ht="12.75">
      <c r="D29">
        <f>IF(B29&gt;0,$B$1&amp;A29&amp;$C$1&amp;B29&amp;$D$1,"")</f>
      </c>
    </row>
    <row r="30" ht="12.75">
      <c r="D30">
        <f>IF(B30&gt;0,$B$1&amp;A30&amp;$C$1&amp;B30&amp;$D$1,"")</f>
      </c>
    </row>
  </sheetData>
  <hyperlinks>
    <hyperlink ref="A6" r:id="rId1" display="http://www.thebeveragepeople.com/"/>
    <hyperlink ref="A8" r:id="rId2" display="http://www.williamsbrewing.com"/>
    <hyperlink ref="A21" r:id="rId3" display="http://www.brewhut.com"/>
    <hyperlink ref="A20" r:id="rId4" display="http://www.usplastic.com/catalog/search.asp?"/>
    <hyperlink ref="A17" r:id="rId5" display="http://www.rapidswholesale.com/"/>
    <hyperlink ref="A13" r:id="rId6" display="http://www.ebrew.com/systems/brewing_systems.htm#system_up-grades"/>
    <hyperlink ref="A3" r:id="rId7" display="http://www.mrbeer.com/"/>
    <hyperlink ref="A16" r:id="rId8" display="http://www.morebeer.com/browse.html?category_id=2440&amp;keyword=&amp;x=1&amp;y=1"/>
    <hyperlink ref="A12" r:id="rId9" display="http://www.austinhomebrew.com/"/>
    <hyperlink ref="A7" r:id="rId10" display="http://www.northernbrewer.com/"/>
    <hyperlink ref="A5" r:id="rId11" display="http://www.breworganic.com/"/>
    <hyperlink ref="A27" r:id="rId12" display="http://www.stpats.com/kegsys.htm"/>
    <hyperlink ref="A19" r:id="rId13" display="http://micromatic.com/"/>
  </hyperlinks>
  <printOptions/>
  <pageMargins left="0.75" right="0.75" top="1" bottom="1" header="0.5" footer="0.5"/>
  <pageSetup horizontalDpi="300" verticalDpi="300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M47"/>
  <sheetViews>
    <sheetView workbookViewId="0" topLeftCell="A1">
      <selection activeCell="E21" sqref="E21"/>
    </sheetView>
  </sheetViews>
  <sheetFormatPr defaultColWidth="9.140625" defaultRowHeight="12.75"/>
  <cols>
    <col min="1" max="1" width="16.7109375" style="20" bestFit="1" customWidth="1"/>
    <col min="2" max="4" width="10.7109375" style="144" customWidth="1"/>
    <col min="5" max="5" width="12.57421875" style="144" bestFit="1" customWidth="1"/>
    <col min="6" max="13" width="10.7109375" style="144" customWidth="1"/>
    <col min="14" max="16384" width="9.140625" style="144" customWidth="1"/>
  </cols>
  <sheetData>
    <row r="1" spans="1:13" ht="13.5" thickBot="1">
      <c r="A1" s="5" t="s">
        <v>166</v>
      </c>
      <c r="B1" s="193"/>
      <c r="C1" s="194"/>
      <c r="J1" s="197" t="s">
        <v>171</v>
      </c>
      <c r="K1" s="11" t="s">
        <v>172</v>
      </c>
      <c r="L1" s="198" t="s">
        <v>174</v>
      </c>
      <c r="M1" s="4" t="s">
        <v>13</v>
      </c>
    </row>
    <row r="2" spans="1:13" ht="13.5" thickBot="1">
      <c r="A2" s="185" t="s">
        <v>4</v>
      </c>
      <c r="B2" s="191"/>
      <c r="C2" s="192"/>
      <c r="E2" s="5" t="s">
        <v>165</v>
      </c>
      <c r="F2" s="178"/>
      <c r="G2" s="11" t="s">
        <v>42</v>
      </c>
      <c r="H2" s="12" t="s">
        <v>164</v>
      </c>
      <c r="J2" s="199" t="s">
        <v>12</v>
      </c>
      <c r="K2" s="200"/>
      <c r="L2" s="201"/>
      <c r="M2" s="202"/>
    </row>
    <row r="3" spans="1:13" ht="12.75">
      <c r="A3" s="186" t="s">
        <v>159</v>
      </c>
      <c r="B3" s="188"/>
      <c r="C3" s="189"/>
      <c r="E3" s="179"/>
      <c r="F3" s="180" t="s">
        <v>41</v>
      </c>
      <c r="G3" s="146"/>
      <c r="H3" s="147"/>
      <c r="J3" s="203" t="s">
        <v>173</v>
      </c>
      <c r="K3" s="204"/>
      <c r="L3" s="205"/>
      <c r="M3" s="206"/>
    </row>
    <row r="4" spans="1:13" ht="12.75">
      <c r="A4" s="186" t="s">
        <v>161</v>
      </c>
      <c r="B4" s="188"/>
      <c r="C4" s="189"/>
      <c r="E4" s="181"/>
      <c r="F4" s="182" t="s">
        <v>83</v>
      </c>
      <c r="G4" s="146"/>
      <c r="H4" s="147"/>
      <c r="J4" s="203" t="s">
        <v>173</v>
      </c>
      <c r="K4" s="204"/>
      <c r="L4" s="205"/>
      <c r="M4" s="206"/>
    </row>
    <row r="5" spans="1:13" ht="12.75">
      <c r="A5" s="186" t="s">
        <v>160</v>
      </c>
      <c r="B5" s="188"/>
      <c r="C5" s="189"/>
      <c r="E5" s="181"/>
      <c r="F5" s="182" t="s">
        <v>163</v>
      </c>
      <c r="G5" s="146"/>
      <c r="H5" s="147"/>
      <c r="J5" s="203" t="s">
        <v>173</v>
      </c>
      <c r="K5" s="204"/>
      <c r="L5" s="205"/>
      <c r="M5" s="206"/>
    </row>
    <row r="6" spans="1:13" ht="13.5" thickBot="1">
      <c r="A6" s="187" t="s">
        <v>162</v>
      </c>
      <c r="B6" s="190"/>
      <c r="C6" s="163"/>
      <c r="E6" s="183"/>
      <c r="F6" s="184" t="s">
        <v>89</v>
      </c>
      <c r="G6" s="27"/>
      <c r="H6" s="148"/>
      <c r="J6" s="203" t="s">
        <v>173</v>
      </c>
      <c r="K6" s="204"/>
      <c r="L6" s="205"/>
      <c r="M6" s="206"/>
    </row>
    <row r="7" spans="1:13" ht="13.5" thickBot="1">
      <c r="A7" s="144"/>
      <c r="J7" s="203" t="s">
        <v>173</v>
      </c>
      <c r="K7" s="204"/>
      <c r="L7" s="205"/>
      <c r="M7" s="206"/>
    </row>
    <row r="8" spans="1:13" s="22" customFormat="1" ht="13.5" thickBot="1">
      <c r="A8" s="5" t="s">
        <v>90</v>
      </c>
      <c r="B8" s="29" t="s">
        <v>42</v>
      </c>
      <c r="C8" s="30" t="s">
        <v>82</v>
      </c>
      <c r="E8" s="5" t="s">
        <v>14</v>
      </c>
      <c r="F8" s="21"/>
      <c r="G8" s="11" t="s">
        <v>42</v>
      </c>
      <c r="H8" s="12" t="s">
        <v>82</v>
      </c>
      <c r="J8" s="203" t="s">
        <v>173</v>
      </c>
      <c r="K8" s="207"/>
      <c r="L8" s="208"/>
      <c r="M8" s="209"/>
    </row>
    <row r="9" spans="1:13" s="22" customFormat="1" ht="12.75">
      <c r="A9" s="17" t="s">
        <v>2</v>
      </c>
      <c r="B9" s="28"/>
      <c r="C9" s="145"/>
      <c r="E9" s="179"/>
      <c r="F9" s="180" t="s">
        <v>167</v>
      </c>
      <c r="G9" s="28"/>
      <c r="H9" s="145"/>
      <c r="J9" s="203" t="s">
        <v>173</v>
      </c>
      <c r="K9" s="207"/>
      <c r="L9" s="208"/>
      <c r="M9" s="209"/>
    </row>
    <row r="10" spans="1:13" s="22" customFormat="1" ht="12.75">
      <c r="A10" s="18" t="s">
        <v>3</v>
      </c>
      <c r="B10" s="26"/>
      <c r="C10" s="147"/>
      <c r="E10" s="181"/>
      <c r="F10" s="182" t="s">
        <v>168</v>
      </c>
      <c r="G10" s="26"/>
      <c r="H10" s="147"/>
      <c r="J10" s="203" t="s">
        <v>173</v>
      </c>
      <c r="K10" s="207"/>
      <c r="L10" s="208"/>
      <c r="M10" s="209"/>
    </row>
    <row r="11" spans="1:13" s="22" customFormat="1" ht="12.75">
      <c r="A11" s="18" t="s">
        <v>175</v>
      </c>
      <c r="B11" s="26"/>
      <c r="C11" s="147"/>
      <c r="E11" s="181"/>
      <c r="F11" s="182" t="s">
        <v>169</v>
      </c>
      <c r="G11" s="26"/>
      <c r="H11" s="147"/>
      <c r="J11" s="203" t="s">
        <v>173</v>
      </c>
      <c r="K11" s="207"/>
      <c r="L11" s="208"/>
      <c r="M11" s="209"/>
    </row>
    <row r="12" spans="1:13" s="22" customFormat="1" ht="13.5" thickBot="1">
      <c r="A12" s="19" t="s">
        <v>7</v>
      </c>
      <c r="B12" s="27"/>
      <c r="C12" s="148"/>
      <c r="E12" s="183"/>
      <c r="F12" s="184" t="s">
        <v>170</v>
      </c>
      <c r="G12" s="27"/>
      <c r="H12" s="148"/>
      <c r="J12" s="210" t="s">
        <v>173</v>
      </c>
      <c r="K12" s="211"/>
      <c r="L12" s="212"/>
      <c r="M12" s="213"/>
    </row>
    <row r="13" spans="1:13" s="22" customFormat="1" ht="12.75">
      <c r="A13" s="214"/>
      <c r="B13" s="215"/>
      <c r="C13" s="216"/>
      <c r="E13" s="216"/>
      <c r="F13" s="214"/>
      <c r="G13" s="215"/>
      <c r="H13" s="216"/>
      <c r="J13" s="217"/>
      <c r="K13" s="218"/>
      <c r="L13" s="218"/>
      <c r="M13" s="218"/>
    </row>
    <row r="14" spans="2:13" s="195" customFormat="1" ht="12" thickBot="1">
      <c r="B14" s="195">
        <v>1</v>
      </c>
      <c r="C14" s="195">
        <v>2</v>
      </c>
      <c r="D14" s="195">
        <v>3</v>
      </c>
      <c r="E14" s="195">
        <v>4</v>
      </c>
      <c r="F14" s="195">
        <v>5</v>
      </c>
      <c r="G14" s="195">
        <v>6</v>
      </c>
      <c r="H14" s="195">
        <v>7</v>
      </c>
      <c r="I14" s="195">
        <v>8</v>
      </c>
      <c r="J14" s="195">
        <v>9</v>
      </c>
      <c r="K14" s="195">
        <v>10</v>
      </c>
      <c r="L14" s="195">
        <v>11</v>
      </c>
      <c r="M14" s="195">
        <v>12</v>
      </c>
    </row>
    <row r="15" spans="1:13" s="2" customFormat="1" ht="13.5" thickBot="1">
      <c r="A15" s="13" t="s">
        <v>88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12.75">
      <c r="A16" s="14" t="s">
        <v>84</v>
      </c>
      <c r="B16" s="149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1"/>
    </row>
    <row r="17" spans="1:13" ht="12.75">
      <c r="A17" s="14" t="s">
        <v>5</v>
      </c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</row>
    <row r="18" spans="1:13" ht="12.75">
      <c r="A18" s="14" t="s">
        <v>87</v>
      </c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7"/>
    </row>
    <row r="19" spans="1:13" ht="12.75">
      <c r="A19" s="14" t="s">
        <v>85</v>
      </c>
      <c r="B19" s="158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/>
    </row>
    <row r="20" spans="1:13" ht="13.5" thickBot="1">
      <c r="A20" s="14" t="s">
        <v>17</v>
      </c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3"/>
    </row>
    <row r="21" spans="1:13" ht="12.75" customHeight="1">
      <c r="A21" s="15" t="s">
        <v>86</v>
      </c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</row>
    <row r="22" spans="1:13" ht="12.75">
      <c r="A22" s="14"/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7"/>
    </row>
    <row r="23" spans="1:13" ht="12.75">
      <c r="A23" s="14"/>
      <c r="B23" s="155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7"/>
    </row>
    <row r="24" spans="1:13" ht="12.75">
      <c r="A24" s="14"/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7"/>
    </row>
    <row r="25" spans="1:13" ht="12.75">
      <c r="A25" s="14"/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7"/>
    </row>
    <row r="26" spans="1:13" ht="12.75">
      <c r="A26" s="14"/>
      <c r="B26" s="15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7"/>
    </row>
    <row r="27" spans="1:13" ht="12.75">
      <c r="A27" s="14"/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7"/>
    </row>
    <row r="28" spans="1:13" ht="12.75">
      <c r="A28" s="14"/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7"/>
    </row>
    <row r="29" spans="1:13" ht="12.75">
      <c r="A29" s="14"/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7"/>
    </row>
    <row r="30" spans="1:13" ht="12.75">
      <c r="A30" s="14"/>
      <c r="B30" s="155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7"/>
    </row>
    <row r="31" spans="1:13" ht="12.75">
      <c r="A31" s="14"/>
      <c r="B31" s="155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7"/>
    </row>
    <row r="32" spans="1:13" ht="12.75">
      <c r="A32" s="14"/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7"/>
    </row>
    <row r="33" spans="1:13" ht="12.75">
      <c r="A33" s="14"/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7"/>
    </row>
    <row r="34" spans="1:13" ht="12.75">
      <c r="A34" s="14"/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7"/>
    </row>
    <row r="35" spans="1:13" ht="12.75">
      <c r="A35" s="1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7"/>
    </row>
    <row r="36" spans="1:13" ht="13.5" thickBot="1">
      <c r="A36" s="16"/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9"/>
    </row>
    <row r="37" spans="1:13" ht="12.75">
      <c r="A37" s="14" t="s">
        <v>8</v>
      </c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2"/>
    </row>
    <row r="38" spans="1:13" ht="12.75">
      <c r="A38" s="14" t="s">
        <v>11</v>
      </c>
      <c r="B38" s="155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7"/>
    </row>
    <row r="39" spans="1:13" ht="13.5" thickBot="1">
      <c r="A39" s="14" t="s">
        <v>8</v>
      </c>
      <c r="B39" s="158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4"/>
    </row>
    <row r="40" spans="1:13" ht="13.5" thickBot="1">
      <c r="A40" s="13" t="s">
        <v>9</v>
      </c>
      <c r="B40" s="175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7"/>
    </row>
    <row r="41" spans="1:13" ht="12.75">
      <c r="A41" s="14" t="s">
        <v>10</v>
      </c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</row>
    <row r="42" spans="1:13" ht="12.75">
      <c r="A42" s="14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7"/>
    </row>
    <row r="43" spans="1:13" ht="13.5" thickBot="1">
      <c r="A43" s="14"/>
      <c r="B43" s="158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4"/>
    </row>
    <row r="44" spans="1:13" ht="12.75">
      <c r="A44" s="15" t="s">
        <v>6</v>
      </c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6"/>
    </row>
    <row r="45" spans="1:13" ht="12.75">
      <c r="A45" s="14"/>
      <c r="B45" s="155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7"/>
    </row>
    <row r="46" spans="1:13" ht="12.75">
      <c r="A46" s="14"/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7"/>
    </row>
    <row r="47" spans="1:13" ht="13.5" thickBot="1">
      <c r="A47" s="16"/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9"/>
    </row>
  </sheetData>
  <printOptions/>
  <pageMargins left="0.75" right="0.75" top="1" bottom="1" header="0.5" footer="0.5"/>
  <pageSetup fitToHeight="1" fitToWidth="1" horizontalDpi="1200" verticalDpi="1200" orientation="landscape" scale="77" r:id="rId1"/>
  <headerFooter alignWithMargins="0">
    <oddHeader>&amp;C&amp;"Arial,Bold"&amp;14SStudleyBrew: &amp;A</oddHeader>
    <oddFooter>&amp;L&amp;A&amp;RPrinted: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114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2" width="11.8515625" style="224" customWidth="1"/>
    <col min="3" max="3" width="36.421875" style="0" customWidth="1"/>
    <col min="4" max="4" width="15.140625" style="224" customWidth="1"/>
    <col min="5" max="16384" width="10.28125" style="0" customWidth="1"/>
  </cols>
  <sheetData>
    <row r="1" spans="1:3" ht="18">
      <c r="A1" s="222" t="s">
        <v>255</v>
      </c>
      <c r="B1" s="223"/>
      <c r="C1" s="222" t="s">
        <v>256</v>
      </c>
    </row>
    <row r="3" spans="1:4" ht="12.75">
      <c r="A3" s="225" t="s">
        <v>257</v>
      </c>
      <c r="C3" s="226" t="s">
        <v>258</v>
      </c>
      <c r="D3" s="223">
        <f>-668.962+1262.45*(B3)-776.43*(B3)^2+182.94*(B3)^3</f>
        <v>-668.962</v>
      </c>
    </row>
    <row r="4" spans="1:4" ht="12.75">
      <c r="A4" s="225" t="s">
        <v>259</v>
      </c>
      <c r="C4" s="226" t="s">
        <v>260</v>
      </c>
      <c r="D4" s="223">
        <f>B4*3.7853</f>
        <v>0</v>
      </c>
    </row>
    <row r="5" spans="3:4" ht="12.75">
      <c r="C5" s="226" t="s">
        <v>261</v>
      </c>
      <c r="D5" s="227">
        <f>B4/31</f>
        <v>0</v>
      </c>
    </row>
    <row r="6" spans="1:4" ht="12.75">
      <c r="A6" s="225" t="s">
        <v>262</v>
      </c>
      <c r="B6" s="223" t="s">
        <v>263</v>
      </c>
      <c r="C6" s="225" t="s">
        <v>264</v>
      </c>
      <c r="D6" s="223" t="s">
        <v>263</v>
      </c>
    </row>
    <row r="8" spans="1:4" ht="12.75">
      <c r="A8" s="226" t="s">
        <v>265</v>
      </c>
      <c r="B8" s="223">
        <f>100-SUM(B9:B14)</f>
        <v>100</v>
      </c>
      <c r="C8" s="225" t="s">
        <v>266</v>
      </c>
      <c r="D8" s="224" t="s">
        <v>263</v>
      </c>
    </row>
    <row r="9" spans="1:4" ht="12.75">
      <c r="A9" s="225" t="s">
        <v>267</v>
      </c>
      <c r="B9" s="223" t="s">
        <v>263</v>
      </c>
      <c r="C9" s="225" t="s">
        <v>268</v>
      </c>
      <c r="D9" s="224" t="s">
        <v>263</v>
      </c>
    </row>
    <row r="10" spans="1:4" ht="12.75">
      <c r="A10" s="225" t="s">
        <v>269</v>
      </c>
      <c r="B10" s="223" t="s">
        <v>263</v>
      </c>
      <c r="C10" s="225" t="s">
        <v>270</v>
      </c>
      <c r="D10" s="224" t="s">
        <v>263</v>
      </c>
    </row>
    <row r="11" spans="1:4" ht="12.75">
      <c r="A11" s="225" t="s">
        <v>271</v>
      </c>
      <c r="B11" s="223" t="s">
        <v>263</v>
      </c>
      <c r="C11" s="225" t="s">
        <v>272</v>
      </c>
      <c r="D11" s="224" t="s">
        <v>263</v>
      </c>
    </row>
    <row r="12" spans="1:5" ht="12.75">
      <c r="A12" s="225" t="s">
        <v>273</v>
      </c>
      <c r="B12" s="223" t="s">
        <v>263</v>
      </c>
      <c r="C12" s="225" t="s">
        <v>274</v>
      </c>
      <c r="D12" s="224" t="s">
        <v>263</v>
      </c>
    </row>
    <row r="13" spans="1:4" ht="12.75">
      <c r="A13" s="225" t="s">
        <v>275</v>
      </c>
      <c r="B13" s="223" t="s">
        <v>263</v>
      </c>
      <c r="C13" s="225" t="s">
        <v>276</v>
      </c>
      <c r="D13" s="224" t="s">
        <v>263</v>
      </c>
    </row>
    <row r="15" spans="1:4" ht="12.75">
      <c r="A15" s="226" t="s">
        <v>277</v>
      </c>
      <c r="B15" s="223" t="e">
        <f>(+B8*D4*B3*D3/10000)/B6</f>
        <v>#VALUE!</v>
      </c>
      <c r="C15" s="226" t="s">
        <v>278</v>
      </c>
      <c r="D15" s="223" t="e">
        <f aca="true" t="shared" si="0" ref="D15:D20">B15/0.45359</f>
        <v>#VALUE!</v>
      </c>
    </row>
    <row r="16" spans="1:4" ht="12.75">
      <c r="A16" s="226" t="s">
        <v>279</v>
      </c>
      <c r="B16" s="223" t="e">
        <f>(+B9*D4*B3*D3/10000)/D6</f>
        <v>#VALUE!</v>
      </c>
      <c r="C16" s="226" t="s">
        <v>280</v>
      </c>
      <c r="D16" s="223" t="e">
        <f t="shared" si="0"/>
        <v>#VALUE!</v>
      </c>
    </row>
    <row r="17" spans="1:4" ht="12.75">
      <c r="A17" s="226" t="s">
        <v>281</v>
      </c>
      <c r="B17" s="223" t="e">
        <f>(+B10*D4*B3*D3/10000)/D6</f>
        <v>#VALUE!</v>
      </c>
      <c r="C17" s="226" t="s">
        <v>282</v>
      </c>
      <c r="D17" s="223" t="e">
        <f t="shared" si="0"/>
        <v>#VALUE!</v>
      </c>
    </row>
    <row r="18" spans="1:4" ht="12.75">
      <c r="A18" s="226" t="s">
        <v>283</v>
      </c>
      <c r="B18" s="223" t="e">
        <f>(+B11*D4*B3*D3/10000)/D6</f>
        <v>#VALUE!</v>
      </c>
      <c r="C18" s="226" t="s">
        <v>284</v>
      </c>
      <c r="D18" s="223" t="e">
        <f t="shared" si="0"/>
        <v>#VALUE!</v>
      </c>
    </row>
    <row r="19" spans="1:4" ht="12.75">
      <c r="A19" s="226" t="s">
        <v>285</v>
      </c>
      <c r="B19" s="223" t="e">
        <f>(+B12*D4*B3*D3/10000)/D6</f>
        <v>#VALUE!</v>
      </c>
      <c r="C19" s="226" t="s">
        <v>286</v>
      </c>
      <c r="D19" s="223" t="e">
        <f t="shared" si="0"/>
        <v>#VALUE!</v>
      </c>
    </row>
    <row r="20" spans="1:4" ht="12.75">
      <c r="A20" s="226" t="s">
        <v>287</v>
      </c>
      <c r="B20" s="223" t="e">
        <f>(+B13*D4*B3*D3/10000)/D6</f>
        <v>#VALUE!</v>
      </c>
      <c r="C20" s="226" t="s">
        <v>288</v>
      </c>
      <c r="D20" s="223" t="e">
        <f t="shared" si="0"/>
        <v>#VALUE!</v>
      </c>
    </row>
    <row r="22" ht="12.75">
      <c r="A22" s="225" t="s">
        <v>289</v>
      </c>
    </row>
    <row r="24" spans="1:4" ht="12.75">
      <c r="A24" s="225" t="s">
        <v>290</v>
      </c>
      <c r="B24" s="227"/>
      <c r="C24" s="225" t="s">
        <v>291</v>
      </c>
      <c r="D24" s="223"/>
    </row>
    <row r="25" spans="1:4" ht="12.75">
      <c r="A25" s="225" t="s">
        <v>292</v>
      </c>
      <c r="C25" s="225" t="s">
        <v>292</v>
      </c>
      <c r="D25" s="223" t="s">
        <v>263</v>
      </c>
    </row>
    <row r="26" spans="1:4" ht="12.75">
      <c r="A26" s="225" t="s">
        <v>293</v>
      </c>
      <c r="C26" s="225" t="s">
        <v>293</v>
      </c>
      <c r="D26" s="223" t="s">
        <v>263</v>
      </c>
    </row>
    <row r="27" spans="1:4" ht="12.75">
      <c r="A27" s="225" t="s">
        <v>294</v>
      </c>
      <c r="C27" s="225" t="s">
        <v>294</v>
      </c>
      <c r="D27" s="223" t="s">
        <v>263</v>
      </c>
    </row>
    <row r="28" spans="1:4" ht="12.75">
      <c r="A28" s="225" t="s">
        <v>295</v>
      </c>
      <c r="C28" s="225" t="s">
        <v>295</v>
      </c>
      <c r="D28" s="223" t="s">
        <v>263</v>
      </c>
    </row>
    <row r="29" spans="1:4" ht="12.75">
      <c r="A29" s="226" t="s">
        <v>296</v>
      </c>
      <c r="B29" s="227" t="e">
        <f>(B22*D4*0.000001)*(B27/100)/((B26/100)*(B28/100))</f>
        <v>#VALUE!</v>
      </c>
      <c r="C29" s="226" t="s">
        <v>296</v>
      </c>
      <c r="D29" s="227" t="e">
        <f>(B22*D4*0.000001)*(D27/100)/((D26/100)*(D28/100))</f>
        <v>#VALUE!</v>
      </c>
    </row>
    <row r="30" spans="1:4" ht="12.75">
      <c r="A30" s="226" t="s">
        <v>297</v>
      </c>
      <c r="B30" s="223" t="e">
        <f>B29/0.45359</f>
        <v>#VALUE!</v>
      </c>
      <c r="C30" s="226" t="s">
        <v>297</v>
      </c>
      <c r="D30" s="223" t="e">
        <f>D29/0.45359</f>
        <v>#VALUE!</v>
      </c>
    </row>
    <row r="31" spans="1:4" ht="12.75">
      <c r="A31" s="226" t="s">
        <v>298</v>
      </c>
      <c r="B31" s="223" t="e">
        <f>B29*35.27</f>
        <v>#VALUE!</v>
      </c>
      <c r="C31" s="226" t="s">
        <v>298</v>
      </c>
      <c r="D31" s="223" t="e">
        <f>D29*35.27</f>
        <v>#VALUE!</v>
      </c>
    </row>
    <row r="32" spans="2:4" ht="12.75">
      <c r="B32" s="32"/>
      <c r="D32" s="32"/>
    </row>
    <row r="33" spans="1:4" ht="12.75">
      <c r="A33" s="225" t="s">
        <v>299</v>
      </c>
      <c r="B33" s="223"/>
      <c r="C33" s="225" t="s">
        <v>300</v>
      </c>
      <c r="D33" s="223"/>
    </row>
    <row r="34" spans="1:4" ht="12.75">
      <c r="A34" s="225" t="s">
        <v>301</v>
      </c>
      <c r="B34" s="223" t="s">
        <v>263</v>
      </c>
      <c r="C34" s="225" t="s">
        <v>301</v>
      </c>
      <c r="D34" s="223" t="s">
        <v>263</v>
      </c>
    </row>
    <row r="35" spans="1:4" ht="12.75">
      <c r="A35" s="225" t="s">
        <v>293</v>
      </c>
      <c r="B35" s="223" t="s">
        <v>263</v>
      </c>
      <c r="C35" s="225" t="s">
        <v>293</v>
      </c>
      <c r="D35" s="223" t="s">
        <v>263</v>
      </c>
    </row>
    <row r="36" spans="1:4" ht="12.75">
      <c r="A36" s="225" t="s">
        <v>294</v>
      </c>
      <c r="B36" s="223" t="s">
        <v>263</v>
      </c>
      <c r="C36" s="225" t="s">
        <v>294</v>
      </c>
      <c r="D36" s="223" t="s">
        <v>263</v>
      </c>
    </row>
    <row r="37" spans="1:4" ht="12.75">
      <c r="A37" s="225" t="s">
        <v>295</v>
      </c>
      <c r="B37" s="223" t="s">
        <v>263</v>
      </c>
      <c r="C37" s="225" t="s">
        <v>295</v>
      </c>
      <c r="D37" s="223" t="s">
        <v>263</v>
      </c>
    </row>
    <row r="38" spans="1:4" ht="12.75">
      <c r="A38" s="226" t="s">
        <v>296</v>
      </c>
      <c r="B38" s="227" t="e">
        <f>(+B22*D4*0.000001*(B36/100))/((B35/100)*(B37/100))</f>
        <v>#VALUE!</v>
      </c>
      <c r="C38" s="226" t="s">
        <v>296</v>
      </c>
      <c r="D38" s="227" t="e">
        <f>(+B22*D4*0.000001*(D36/100))/((D35/100)*(D37/100))</f>
        <v>#VALUE!</v>
      </c>
    </row>
    <row r="39" spans="1:4" ht="12.75">
      <c r="A39" s="226" t="s">
        <v>297</v>
      </c>
      <c r="B39" s="223" t="e">
        <f>B38/0.45359</f>
        <v>#VALUE!</v>
      </c>
      <c r="C39" s="226" t="s">
        <v>297</v>
      </c>
      <c r="D39" s="223" t="e">
        <f>D40/16</f>
        <v>#VALUE!</v>
      </c>
    </row>
    <row r="40" spans="1:4" ht="12.75">
      <c r="A40" s="226" t="s">
        <v>298</v>
      </c>
      <c r="B40" s="223" t="e">
        <f>B38*35.27</f>
        <v>#VALUE!</v>
      </c>
      <c r="C40" s="226" t="s">
        <v>298</v>
      </c>
      <c r="D40" s="223" t="e">
        <f>D38*35.27</f>
        <v>#VALUE!</v>
      </c>
    </row>
    <row r="42" spans="1:4" ht="12.75">
      <c r="A42" s="225" t="s">
        <v>302</v>
      </c>
      <c r="B42" s="228" t="s">
        <v>263</v>
      </c>
      <c r="C42" s="226" t="s">
        <v>303</v>
      </c>
      <c r="D42" s="228" t="e">
        <f>D15*B42</f>
        <v>#VALUE!</v>
      </c>
    </row>
    <row r="43" spans="1:4" ht="12.75">
      <c r="A43" s="225" t="s">
        <v>304</v>
      </c>
      <c r="B43" s="228" t="s">
        <v>263</v>
      </c>
      <c r="C43" s="226" t="s">
        <v>303</v>
      </c>
      <c r="D43" s="228" t="e">
        <f>D16*B43</f>
        <v>#VALUE!</v>
      </c>
    </row>
    <row r="44" spans="1:4" ht="12.75">
      <c r="A44" s="225" t="s">
        <v>305</v>
      </c>
      <c r="B44" s="228" t="s">
        <v>263</v>
      </c>
      <c r="C44" s="226" t="s">
        <v>303</v>
      </c>
      <c r="D44" s="228" t="e">
        <f>SUM(D17:D20)*B44</f>
        <v>#VALUE!</v>
      </c>
    </row>
    <row r="45" spans="1:4" ht="12.75">
      <c r="A45" s="225" t="s">
        <v>306</v>
      </c>
      <c r="B45" s="228" t="s">
        <v>263</v>
      </c>
      <c r="C45" s="226" t="s">
        <v>303</v>
      </c>
      <c r="D45" s="228" t="e">
        <f>(+B30+D30+B39+D39)*B45</f>
        <v>#VALUE!</v>
      </c>
    </row>
    <row r="46" spans="1:2" ht="12.75">
      <c r="A46" s="226" t="s">
        <v>307</v>
      </c>
      <c r="B46" s="228" t="e">
        <f>SUM(D42:D45)</f>
        <v>#VALUE!</v>
      </c>
    </row>
    <row r="48" spans="1:4" ht="12.75">
      <c r="A48" s="225" t="s">
        <v>308</v>
      </c>
      <c r="B48" s="224" t="s">
        <v>263</v>
      </c>
      <c r="C48" s="225" t="s">
        <v>309</v>
      </c>
      <c r="D48" s="224" t="s">
        <v>263</v>
      </c>
    </row>
    <row r="49" spans="1:4" ht="12.75">
      <c r="A49" s="225" t="s">
        <v>310</v>
      </c>
      <c r="B49" s="229" t="s">
        <v>263</v>
      </c>
      <c r="C49" s="226" t="s">
        <v>311</v>
      </c>
      <c r="D49" s="223" t="e">
        <f>B49*SUM(B15:B20)</f>
        <v>#VALUE!</v>
      </c>
    </row>
    <row r="50" spans="1:4" ht="12.75">
      <c r="A50" s="226" t="s">
        <v>312</v>
      </c>
      <c r="B50" s="223" t="e">
        <f>D50/31</f>
        <v>#VALUE!</v>
      </c>
      <c r="C50" s="226" t="s">
        <v>313</v>
      </c>
      <c r="D50" s="223" t="e">
        <f>D49/3.7853</f>
        <v>#VALUE!</v>
      </c>
    </row>
    <row r="51" spans="1:4" ht="12.75">
      <c r="A51" s="225" t="s">
        <v>314</v>
      </c>
      <c r="B51" s="224" t="s">
        <v>263</v>
      </c>
      <c r="C51" s="226" t="s">
        <v>315</v>
      </c>
      <c r="D51" s="229" t="e">
        <f>((SUM(B15:B20)*1.6*(B51-20))/(D49*4.18))+B51+3.5</f>
        <v>#VALUE!</v>
      </c>
    </row>
    <row r="54" spans="1:2" ht="12.75">
      <c r="A54" s="225" t="s">
        <v>316</v>
      </c>
      <c r="B54" s="224" t="s">
        <v>263</v>
      </c>
    </row>
    <row r="55" spans="1:2" ht="12.75">
      <c r="A55" s="225" t="s">
        <v>317</v>
      </c>
      <c r="B55" s="224" t="s">
        <v>263</v>
      </c>
    </row>
    <row r="56" spans="1:2" ht="12.75">
      <c r="A56" s="225" t="s">
        <v>318</v>
      </c>
      <c r="B56" s="224" t="s">
        <v>263</v>
      </c>
    </row>
    <row r="63" spans="1:3" ht="18">
      <c r="A63" s="222" t="s">
        <v>319</v>
      </c>
      <c r="C63" s="222" t="s">
        <v>320</v>
      </c>
    </row>
    <row r="64" ht="12.75">
      <c r="B64" s="31"/>
    </row>
    <row r="65" spans="1:4" ht="12.75">
      <c r="A65" s="230" t="s">
        <v>321</v>
      </c>
      <c r="B65" s="230" t="s">
        <v>322</v>
      </c>
      <c r="C65" s="230" t="s">
        <v>323</v>
      </c>
      <c r="D65" s="230" t="s">
        <v>324</v>
      </c>
    </row>
    <row r="66" spans="1:4" ht="12.75">
      <c r="A66" s="31" t="s">
        <v>263</v>
      </c>
      <c r="B66" s="31" t="s">
        <v>263</v>
      </c>
      <c r="C66" s="231" t="s">
        <v>263</v>
      </c>
      <c r="D66" s="231">
        <f aca="true" t="shared" si="1" ref="D66:D74">C66*9/5+32</f>
        <v>32</v>
      </c>
    </row>
    <row r="67" spans="1:4" ht="12.75">
      <c r="A67" s="31" t="s">
        <v>263</v>
      </c>
      <c r="B67" s="31" t="s">
        <v>263</v>
      </c>
      <c r="C67" s="231" t="s">
        <v>263</v>
      </c>
      <c r="D67" s="231">
        <f t="shared" si="1"/>
        <v>32</v>
      </c>
    </row>
    <row r="68" spans="1:4" ht="12.75">
      <c r="A68" s="31" t="s">
        <v>263</v>
      </c>
      <c r="B68" s="31" t="s">
        <v>263</v>
      </c>
      <c r="C68" s="231" t="s">
        <v>263</v>
      </c>
      <c r="D68" s="231">
        <f t="shared" si="1"/>
        <v>32</v>
      </c>
    </row>
    <row r="69" spans="1:4" ht="12.75">
      <c r="A69" s="31" t="s">
        <v>263</v>
      </c>
      <c r="B69" s="31" t="s">
        <v>263</v>
      </c>
      <c r="C69" s="231" t="s">
        <v>263</v>
      </c>
      <c r="D69" s="231">
        <f t="shared" si="1"/>
        <v>32</v>
      </c>
    </row>
    <row r="70" spans="1:4" ht="12.75">
      <c r="A70" s="31" t="s">
        <v>263</v>
      </c>
      <c r="B70" s="31" t="s">
        <v>263</v>
      </c>
      <c r="C70" s="231" t="s">
        <v>263</v>
      </c>
      <c r="D70" s="231">
        <f t="shared" si="1"/>
        <v>32</v>
      </c>
    </row>
    <row r="71" spans="1:4" ht="12.75">
      <c r="A71" s="31" t="s">
        <v>263</v>
      </c>
      <c r="B71" s="31" t="s">
        <v>263</v>
      </c>
      <c r="C71" s="231" t="s">
        <v>263</v>
      </c>
      <c r="D71" s="231">
        <f t="shared" si="1"/>
        <v>32</v>
      </c>
    </row>
    <row r="72" spans="1:4" ht="12.75">
      <c r="A72" s="31" t="s">
        <v>263</v>
      </c>
      <c r="B72" s="31" t="s">
        <v>263</v>
      </c>
      <c r="C72" s="231" t="s">
        <v>263</v>
      </c>
      <c r="D72" s="231">
        <f t="shared" si="1"/>
        <v>32</v>
      </c>
    </row>
    <row r="73" spans="1:4" ht="12.75">
      <c r="A73" s="31" t="s">
        <v>263</v>
      </c>
      <c r="B73" s="31" t="s">
        <v>263</v>
      </c>
      <c r="C73" s="31" t="s">
        <v>263</v>
      </c>
      <c r="D73" s="231">
        <f t="shared" si="1"/>
        <v>32</v>
      </c>
    </row>
    <row r="74" spans="1:4" ht="12.75">
      <c r="A74" s="31" t="s">
        <v>263</v>
      </c>
      <c r="B74" s="31" t="s">
        <v>263</v>
      </c>
      <c r="C74" s="31" t="s">
        <v>263</v>
      </c>
      <c r="D74" s="231">
        <f t="shared" si="1"/>
        <v>32</v>
      </c>
    </row>
    <row r="75" spans="2:3" ht="12.75">
      <c r="B75" s="31"/>
      <c r="C75" s="31"/>
    </row>
    <row r="76" spans="2:3" ht="12.75">
      <c r="B76" s="31"/>
      <c r="C76" s="31"/>
    </row>
    <row r="77" spans="2:3" ht="12.75">
      <c r="B77" s="31"/>
      <c r="C77" s="31"/>
    </row>
    <row r="78" spans="2:4" ht="12.75">
      <c r="B78" s="31"/>
      <c r="C78" s="31"/>
      <c r="D78" s="31"/>
    </row>
    <row r="79" spans="1:4" ht="12.75">
      <c r="A79" s="225" t="s">
        <v>325</v>
      </c>
      <c r="B79" s="227"/>
      <c r="C79" s="232" t="s">
        <v>326</v>
      </c>
      <c r="D79" s="227" t="s">
        <v>263</v>
      </c>
    </row>
    <row r="80" spans="1:4" ht="12.75">
      <c r="A80" s="225" t="s">
        <v>327</v>
      </c>
      <c r="B80" s="229" t="s">
        <v>263</v>
      </c>
      <c r="C80" s="225" t="s">
        <v>328</v>
      </c>
      <c r="D80" s="229" t="s">
        <v>263</v>
      </c>
    </row>
    <row r="81" spans="1:4" ht="12.75">
      <c r="A81" s="225" t="s">
        <v>329</v>
      </c>
      <c r="B81" s="224" t="s">
        <v>263</v>
      </c>
      <c r="C81" s="226" t="s">
        <v>330</v>
      </c>
      <c r="D81" s="227">
        <f>B81*3.7853</f>
        <v>0</v>
      </c>
    </row>
    <row r="82" spans="1:4" ht="12.75">
      <c r="A82" s="226" t="s">
        <v>263</v>
      </c>
      <c r="C82" s="226" t="s">
        <v>331</v>
      </c>
      <c r="D82" s="227">
        <f>D81/117.344</f>
        <v>0</v>
      </c>
    </row>
    <row r="83" spans="1:4" ht="12.75">
      <c r="A83" s="225" t="s">
        <v>257</v>
      </c>
      <c r="B83" s="233" t="s">
        <v>263</v>
      </c>
      <c r="C83" s="226" t="s">
        <v>332</v>
      </c>
      <c r="D83" s="223">
        <f>-668.962+1262.45*(B83)-776.43*(B83)^2+182.94*(B83)^3</f>
        <v>-668.962</v>
      </c>
    </row>
    <row r="84" spans="3:4" ht="12.75">
      <c r="C84" s="226" t="s">
        <v>333</v>
      </c>
      <c r="D84" s="223" t="e">
        <f>((D80*0.96*B83*(D83/100))*3.7853/SUM(B15:B20))*100</f>
        <v>#VALUE!</v>
      </c>
    </row>
    <row r="86" spans="1:3" ht="12.75">
      <c r="A86" s="225" t="s">
        <v>334</v>
      </c>
      <c r="B86" s="224" t="s">
        <v>263</v>
      </c>
      <c r="C86" s="225"/>
    </row>
    <row r="87" spans="1:4" ht="12.75">
      <c r="A87" s="225" t="s">
        <v>316</v>
      </c>
      <c r="B87" s="224" t="s">
        <v>263</v>
      </c>
      <c r="C87" s="225" t="s">
        <v>335</v>
      </c>
      <c r="D87" s="224" t="s">
        <v>263</v>
      </c>
    </row>
    <row r="88" spans="1:4" ht="12.75">
      <c r="A88" s="225" t="s">
        <v>336</v>
      </c>
      <c r="B88" s="224" t="s">
        <v>263</v>
      </c>
      <c r="C88" s="225" t="s">
        <v>337</v>
      </c>
      <c r="D88" s="224" t="s">
        <v>263</v>
      </c>
    </row>
    <row r="89" spans="1:4" ht="12.75">
      <c r="A89" s="225" t="s">
        <v>338</v>
      </c>
      <c r="B89" s="224" t="s">
        <v>263</v>
      </c>
      <c r="C89" s="225" t="s">
        <v>339</v>
      </c>
      <c r="D89" s="224" t="s">
        <v>263</v>
      </c>
    </row>
    <row r="90" ht="12.75">
      <c r="B90" s="224" t="s">
        <v>263</v>
      </c>
    </row>
    <row r="91" spans="1:3" ht="12.75">
      <c r="A91" s="225" t="s">
        <v>340</v>
      </c>
      <c r="C91" s="225" t="s">
        <v>340</v>
      </c>
    </row>
    <row r="92" spans="1:3" ht="12.75">
      <c r="A92" s="225" t="s">
        <v>341</v>
      </c>
      <c r="C92" s="225" t="s">
        <v>341</v>
      </c>
    </row>
    <row r="94" spans="1:4" ht="12.75">
      <c r="A94" s="225" t="s">
        <v>342</v>
      </c>
      <c r="B94" s="227" t="s">
        <v>263</v>
      </c>
      <c r="C94" s="226" t="s">
        <v>343</v>
      </c>
      <c r="D94" s="234">
        <f>-668.962+1262.45*(B94)-776.43*(B94)^2+182.94*(B94)^3</f>
        <v>-668.962</v>
      </c>
    </row>
    <row r="95" spans="1:4" ht="12.75">
      <c r="A95" s="226" t="s">
        <v>344</v>
      </c>
      <c r="B95" s="235">
        <f>(D83-D94)/D83</f>
        <v>0</v>
      </c>
      <c r="C95" s="226" t="s">
        <v>345</v>
      </c>
      <c r="D95" s="234">
        <f>(0.22+0.0001*D83*D83+D94)/(1+(0.22+0.001*D83))</f>
        <v>-1132.3919298770684</v>
      </c>
    </row>
    <row r="96" spans="1:4" ht="12.75">
      <c r="A96" s="226" t="s">
        <v>346</v>
      </c>
      <c r="B96" s="235">
        <f>(D83-D95)/D83</f>
        <v>-0.6927597230890071</v>
      </c>
      <c r="C96" s="226" t="s">
        <v>347</v>
      </c>
      <c r="D96" s="234">
        <f>3.55*B94*(4.08*D95+7.1*B97*100)</f>
        <v>0</v>
      </c>
    </row>
    <row r="97" spans="1:4" ht="12.75">
      <c r="A97" s="226" t="s">
        <v>348</v>
      </c>
      <c r="B97" s="235">
        <f>((D83-D95)/2.0665-0.010665*D83)/100</f>
        <v>2.3139285373293657</v>
      </c>
      <c r="C97" s="226" t="s">
        <v>349</v>
      </c>
      <c r="D97" s="235">
        <f>B97*(B94/0.794)</f>
        <v>0</v>
      </c>
    </row>
    <row r="99" ht="12.75">
      <c r="A99" s="225" t="s">
        <v>350</v>
      </c>
    </row>
    <row r="101" spans="1:256" ht="12.75">
      <c r="A101" s="225" t="s">
        <v>351</v>
      </c>
      <c r="B101" s="236"/>
      <c r="C101" s="225" t="s">
        <v>352</v>
      </c>
      <c r="D101" s="236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  <c r="IM101" s="225"/>
      <c r="IN101" s="225"/>
      <c r="IO101" s="225"/>
      <c r="IP101" s="225"/>
      <c r="IQ101" s="225"/>
      <c r="IR101" s="225"/>
      <c r="IS101" s="225"/>
      <c r="IT101" s="225"/>
      <c r="IU101" s="225"/>
      <c r="IV101" s="225"/>
    </row>
    <row r="102" spans="1:256" ht="12.75">
      <c r="A102" s="225" t="s">
        <v>353</v>
      </c>
      <c r="B102" s="236"/>
      <c r="C102" s="225" t="s">
        <v>354</v>
      </c>
      <c r="D102" s="236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  <c r="IM102" s="225"/>
      <c r="IN102" s="225"/>
      <c r="IO102" s="225"/>
      <c r="IP102" s="225"/>
      <c r="IQ102" s="225"/>
      <c r="IR102" s="225"/>
      <c r="IS102" s="225"/>
      <c r="IT102" s="225"/>
      <c r="IU102" s="225"/>
      <c r="IV102" s="225"/>
    </row>
    <row r="103" spans="1:256" ht="12.75">
      <c r="A103" s="225" t="s">
        <v>355</v>
      </c>
      <c r="B103" s="236"/>
      <c r="C103" s="225"/>
      <c r="D103" s="236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  <c r="IM103" s="225"/>
      <c r="IN103" s="225"/>
      <c r="IO103" s="225"/>
      <c r="IP103" s="225"/>
      <c r="IQ103" s="225"/>
      <c r="IR103" s="225"/>
      <c r="IS103" s="225"/>
      <c r="IT103" s="225"/>
      <c r="IU103" s="225"/>
      <c r="IV103" s="225"/>
    </row>
    <row r="104" spans="1:256" ht="12.75">
      <c r="A104" s="225" t="s">
        <v>356</v>
      </c>
      <c r="B104" s="236"/>
      <c r="C104" s="225" t="s">
        <v>351</v>
      </c>
      <c r="D104" s="236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  <c r="IM104" s="225"/>
      <c r="IN104" s="225"/>
      <c r="IO104" s="225"/>
      <c r="IP104" s="225"/>
      <c r="IQ104" s="225"/>
      <c r="IR104" s="225"/>
      <c r="IS104" s="225"/>
      <c r="IT104" s="225"/>
      <c r="IU104" s="225"/>
      <c r="IV104" s="225"/>
    </row>
    <row r="105" spans="1:256" ht="12.75">
      <c r="A105" s="225" t="s">
        <v>357</v>
      </c>
      <c r="B105" s="236"/>
      <c r="C105" s="225" t="s">
        <v>358</v>
      </c>
      <c r="D105" s="236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  <c r="IM105" s="225"/>
      <c r="IN105" s="225"/>
      <c r="IO105" s="225"/>
      <c r="IP105" s="225"/>
      <c r="IQ105" s="225"/>
      <c r="IR105" s="225"/>
      <c r="IS105" s="225"/>
      <c r="IT105" s="225"/>
      <c r="IU105" s="225"/>
      <c r="IV105" s="225"/>
    </row>
    <row r="107" spans="1:256" ht="12.75">
      <c r="A107" s="225" t="s">
        <v>359</v>
      </c>
      <c r="B107" s="236"/>
      <c r="C107" s="225" t="s">
        <v>360</v>
      </c>
      <c r="D107" s="236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  <c r="IM107" s="225"/>
      <c r="IN107" s="225"/>
      <c r="IO107" s="225"/>
      <c r="IP107" s="225"/>
      <c r="IQ107" s="225"/>
      <c r="IR107" s="225"/>
      <c r="IS107" s="225"/>
      <c r="IT107" s="225"/>
      <c r="IU107" s="225"/>
      <c r="IV107" s="225"/>
    </row>
    <row r="108" spans="1:256" ht="12.75">
      <c r="A108" s="225" t="s">
        <v>361</v>
      </c>
      <c r="B108" s="236"/>
      <c r="C108" s="225" t="s">
        <v>362</v>
      </c>
      <c r="D108" s="236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225"/>
      <c r="DG108" s="225"/>
      <c r="DH108" s="225"/>
      <c r="DI108" s="225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  <c r="IM108" s="225"/>
      <c r="IN108" s="225"/>
      <c r="IO108" s="225"/>
      <c r="IP108" s="225"/>
      <c r="IQ108" s="225"/>
      <c r="IR108" s="225"/>
      <c r="IS108" s="225"/>
      <c r="IT108" s="225"/>
      <c r="IU108" s="225"/>
      <c r="IV108" s="225"/>
    </row>
    <row r="109" spans="1:256" ht="12.75">
      <c r="A109" s="225" t="s">
        <v>363</v>
      </c>
      <c r="B109" s="236"/>
      <c r="C109" s="225" t="s">
        <v>364</v>
      </c>
      <c r="D109" s="236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  <c r="IM109" s="225"/>
      <c r="IN109" s="225"/>
      <c r="IO109" s="225"/>
      <c r="IP109" s="225"/>
      <c r="IQ109" s="225"/>
      <c r="IR109" s="225"/>
      <c r="IS109" s="225"/>
      <c r="IT109" s="225"/>
      <c r="IU109" s="225"/>
      <c r="IV109" s="225"/>
    </row>
    <row r="110" spans="1:256" ht="12.75">
      <c r="A110" s="225" t="s">
        <v>365</v>
      </c>
      <c r="B110" s="236"/>
      <c r="C110" s="225" t="s">
        <v>366</v>
      </c>
      <c r="D110" s="236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  <c r="IP110" s="225"/>
      <c r="IQ110" s="225"/>
      <c r="IR110" s="225"/>
      <c r="IS110" s="225"/>
      <c r="IT110" s="225"/>
      <c r="IU110" s="225"/>
      <c r="IV110" s="225"/>
    </row>
    <row r="111" spans="1:256" ht="12.75">
      <c r="A111" s="225" t="s">
        <v>367</v>
      </c>
      <c r="B111" s="236"/>
      <c r="C111" s="225" t="s">
        <v>368</v>
      </c>
      <c r="D111" s="236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  <c r="IP111" s="225"/>
      <c r="IQ111" s="225"/>
      <c r="IR111" s="225"/>
      <c r="IS111" s="225"/>
      <c r="IT111" s="225"/>
      <c r="IU111" s="225"/>
      <c r="IV111" s="225"/>
    </row>
    <row r="112" spans="1:256" ht="12.75">
      <c r="A112" s="225"/>
      <c r="B112" s="236"/>
      <c r="C112" s="225"/>
      <c r="D112" s="236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  <c r="IM112" s="225"/>
      <c r="IN112" s="225"/>
      <c r="IO112" s="225"/>
      <c r="IP112" s="225"/>
      <c r="IQ112" s="225"/>
      <c r="IR112" s="225"/>
      <c r="IS112" s="225"/>
      <c r="IT112" s="225"/>
      <c r="IU112" s="225"/>
      <c r="IV112" s="225"/>
    </row>
    <row r="113" spans="1:256" ht="12.75">
      <c r="A113" s="225" t="s">
        <v>369</v>
      </c>
      <c r="B113" s="224" t="s">
        <v>263</v>
      </c>
      <c r="C113" s="225"/>
      <c r="D113" s="236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  <c r="IM113" s="225"/>
      <c r="IN113" s="225"/>
      <c r="IO113" s="225"/>
      <c r="IP113" s="225"/>
      <c r="IQ113" s="225"/>
      <c r="IR113" s="225"/>
      <c r="IS113" s="225"/>
      <c r="IT113" s="225"/>
      <c r="IU113" s="225"/>
      <c r="IV113" s="225"/>
    </row>
    <row r="114" ht="12.75">
      <c r="B114" s="224" t="s">
        <v>263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78"/>
  <sheetViews>
    <sheetView tabSelected="1" zoomScale="80" zoomScaleNormal="80" workbookViewId="0" topLeftCell="A27">
      <selection activeCell="B79" sqref="B79"/>
    </sheetView>
  </sheetViews>
  <sheetFormatPr defaultColWidth="9.140625" defaultRowHeight="12.75"/>
  <cols>
    <col min="1" max="1" width="5.140625" style="0" bestFit="1" customWidth="1"/>
    <col min="2" max="2" width="48.8515625" style="0" customWidth="1"/>
    <col min="3" max="3" width="9.57421875" style="9" bestFit="1" customWidth="1"/>
    <col min="4" max="4" width="11.28125" style="0" bestFit="1" customWidth="1"/>
  </cols>
  <sheetData>
    <row r="1" spans="1:5" ht="12.75">
      <c r="A1" s="2" t="s">
        <v>666</v>
      </c>
      <c r="B1" s="2" t="s">
        <v>646</v>
      </c>
      <c r="C1" s="8" t="s">
        <v>56</v>
      </c>
      <c r="D1" s="2" t="s">
        <v>38</v>
      </c>
      <c r="E1" s="2" t="s">
        <v>62</v>
      </c>
    </row>
    <row r="2" spans="1:6" s="3" customFormat="1" ht="12.75">
      <c r="A2" s="3">
        <v>1</v>
      </c>
      <c r="B2" s="3" t="s">
        <v>615</v>
      </c>
      <c r="C2" s="9">
        <v>2.25</v>
      </c>
      <c r="D2"/>
      <c r="E2" t="s">
        <v>638</v>
      </c>
      <c r="F2"/>
    </row>
    <row r="3" spans="1:6" s="3" customFormat="1" ht="12.75">
      <c r="A3" s="3">
        <v>1</v>
      </c>
      <c r="B3" s="3" t="s">
        <v>697</v>
      </c>
      <c r="C3" s="9"/>
      <c r="D3"/>
      <c r="E3" t="s">
        <v>662</v>
      </c>
      <c r="F3"/>
    </row>
    <row r="4" spans="1:6" s="3" customFormat="1" ht="12.75">
      <c r="A4" s="3">
        <v>1</v>
      </c>
      <c r="B4" s="3" t="s">
        <v>663</v>
      </c>
      <c r="C4" s="9"/>
      <c r="D4"/>
      <c r="E4"/>
      <c r="F4"/>
    </row>
    <row r="5" spans="1:6" s="3" customFormat="1" ht="12.75">
      <c r="A5" s="3">
        <v>1</v>
      </c>
      <c r="B5" s="3" t="s">
        <v>664</v>
      </c>
      <c r="C5" s="9"/>
      <c r="D5"/>
      <c r="E5"/>
      <c r="F5"/>
    </row>
    <row r="6" spans="1:5" ht="12.75">
      <c r="A6" s="3">
        <v>1</v>
      </c>
      <c r="B6" s="3" t="s">
        <v>584</v>
      </c>
      <c r="E6" t="s">
        <v>662</v>
      </c>
    </row>
    <row r="7" spans="1:2" ht="12.75">
      <c r="A7" s="3">
        <v>1</v>
      </c>
      <c r="B7" s="3" t="s">
        <v>644</v>
      </c>
    </row>
    <row r="8" spans="1:2" ht="12.75">
      <c r="A8" s="3">
        <v>1</v>
      </c>
      <c r="B8" s="3" t="s">
        <v>645</v>
      </c>
    </row>
    <row r="9" spans="1:5" ht="12.75">
      <c r="A9" s="3">
        <v>1</v>
      </c>
      <c r="B9" t="s">
        <v>658</v>
      </c>
      <c r="C9" s="9">
        <v>19.95</v>
      </c>
      <c r="E9" t="s">
        <v>657</v>
      </c>
    </row>
    <row r="10" spans="1:2" ht="12.75">
      <c r="A10" s="3">
        <v>1</v>
      </c>
      <c r="B10" s="3" t="s">
        <v>705</v>
      </c>
    </row>
    <row r="11" spans="1:2" ht="12.75">
      <c r="A11" s="3">
        <v>1</v>
      </c>
      <c r="B11" s="3" t="s">
        <v>706</v>
      </c>
    </row>
    <row r="12" spans="1:2" ht="12.75">
      <c r="A12" s="3">
        <v>1</v>
      </c>
      <c r="B12" s="3" t="s">
        <v>707</v>
      </c>
    </row>
    <row r="13" spans="1:2" ht="12.75">
      <c r="A13" s="3">
        <v>1</v>
      </c>
      <c r="B13" s="3" t="s">
        <v>721</v>
      </c>
    </row>
    <row r="14" spans="1:5" ht="12.75">
      <c r="A14" s="3">
        <v>6</v>
      </c>
      <c r="B14" t="s">
        <v>475</v>
      </c>
      <c r="C14" s="9">
        <v>1</v>
      </c>
      <c r="D14" t="s">
        <v>476</v>
      </c>
      <c r="E14" t="s">
        <v>485</v>
      </c>
    </row>
    <row r="15" ht="12.75">
      <c r="B15" s="3"/>
    </row>
    <row r="16" ht="12.75">
      <c r="B16" s="2" t="s">
        <v>647</v>
      </c>
    </row>
    <row r="17" spans="2:5" ht="12.75">
      <c r="B17" s="3" t="s">
        <v>614</v>
      </c>
      <c r="C17" s="9">
        <v>15.5</v>
      </c>
      <c r="D17" t="s">
        <v>637</v>
      </c>
      <c r="E17" t="s">
        <v>636</v>
      </c>
    </row>
    <row r="18" ht="12.75">
      <c r="B18" s="3" t="s">
        <v>562</v>
      </c>
    </row>
    <row r="19" ht="12.75">
      <c r="B19" s="3" t="s">
        <v>563</v>
      </c>
    </row>
    <row r="20" ht="12.75">
      <c r="B20" t="s">
        <v>468</v>
      </c>
    </row>
    <row r="21" spans="2:5" ht="12.75">
      <c r="B21" s="3" t="s">
        <v>565</v>
      </c>
      <c r="E21">
        <v>925</v>
      </c>
    </row>
    <row r="22" spans="2:5" ht="12.75">
      <c r="B22" s="3" t="s">
        <v>564</v>
      </c>
      <c r="E22">
        <v>930</v>
      </c>
    </row>
    <row r="23" spans="2:5" ht="12.75">
      <c r="B23" s="3" t="s">
        <v>566</v>
      </c>
      <c r="E23" s="2">
        <v>7267</v>
      </c>
    </row>
    <row r="25" ht="12.75">
      <c r="B25" s="2" t="s">
        <v>605</v>
      </c>
    </row>
    <row r="26" spans="2:5" ht="13.5">
      <c r="B26" s="3" t="s">
        <v>493</v>
      </c>
      <c r="C26" s="9">
        <v>2.5</v>
      </c>
      <c r="E26" s="1" t="s">
        <v>492</v>
      </c>
    </row>
    <row r="27" spans="2:5" ht="13.5">
      <c r="B27" s="3"/>
      <c r="E27" s="1"/>
    </row>
    <row r="28" ht="13.5">
      <c r="E28" s="1"/>
    </row>
    <row r="29" spans="2:5" ht="13.5">
      <c r="B29" s="2" t="s">
        <v>604</v>
      </c>
      <c r="E29" s="1"/>
    </row>
    <row r="30" spans="2:5" ht="13.5">
      <c r="B30" s="3" t="s">
        <v>490</v>
      </c>
      <c r="C30" s="9">
        <v>5.5</v>
      </c>
      <c r="E30" s="1" t="s">
        <v>489</v>
      </c>
    </row>
    <row r="31" spans="2:5" ht="12.75">
      <c r="B31" s="3" t="s">
        <v>497</v>
      </c>
      <c r="C31" s="9">
        <v>28.9</v>
      </c>
      <c r="E31" t="s">
        <v>496</v>
      </c>
    </row>
    <row r="32" spans="2:5" ht="13.5">
      <c r="B32" s="3" t="s">
        <v>499</v>
      </c>
      <c r="C32" s="9">
        <v>52.9</v>
      </c>
      <c r="E32" s="1" t="s">
        <v>498</v>
      </c>
    </row>
    <row r="33" spans="2:5" ht="13.5">
      <c r="B33" s="3"/>
      <c r="E33" s="1"/>
    </row>
    <row r="34" spans="2:5" ht="13.5">
      <c r="B34" s="2" t="s">
        <v>708</v>
      </c>
      <c r="E34" s="1"/>
    </row>
    <row r="35" spans="1:5" ht="13.5" customHeight="1">
      <c r="A35" s="3">
        <v>1</v>
      </c>
      <c r="B35" s="3" t="s">
        <v>642</v>
      </c>
      <c r="E35" t="s">
        <v>641</v>
      </c>
    </row>
    <row r="36" spans="1:5" ht="12.75">
      <c r="A36" s="3">
        <v>1</v>
      </c>
      <c r="B36" s="3" t="s">
        <v>660</v>
      </c>
      <c r="C36" s="9">
        <v>29.95</v>
      </c>
      <c r="D36" t="s">
        <v>411</v>
      </c>
      <c r="E36" t="s">
        <v>661</v>
      </c>
    </row>
    <row r="37" ht="12.75">
      <c r="B37" s="3"/>
    </row>
    <row r="38" ht="12.75">
      <c r="B38" s="2" t="s">
        <v>603</v>
      </c>
    </row>
    <row r="39" spans="2:5" ht="12.75">
      <c r="B39" t="s">
        <v>477</v>
      </c>
      <c r="C39" s="9">
        <v>159.9</v>
      </c>
      <c r="E39" t="s">
        <v>486</v>
      </c>
    </row>
    <row r="40" spans="2:5" ht="13.5">
      <c r="B40" t="s">
        <v>471</v>
      </c>
      <c r="C40" s="9">
        <v>29.9</v>
      </c>
      <c r="E40" s="1" t="s">
        <v>482</v>
      </c>
    </row>
    <row r="41" ht="12.75">
      <c r="B41" s="3"/>
    </row>
    <row r="42" ht="12.75">
      <c r="B42" s="2" t="s">
        <v>15</v>
      </c>
    </row>
    <row r="43" spans="2:5" ht="12.75">
      <c r="B43" t="s">
        <v>472</v>
      </c>
      <c r="C43" s="9">
        <v>23.9</v>
      </c>
      <c r="D43" t="s">
        <v>473</v>
      </c>
      <c r="E43" t="s">
        <v>483</v>
      </c>
    </row>
    <row r="44" spans="2:5" ht="12.75">
      <c r="B44" t="s">
        <v>474</v>
      </c>
      <c r="C44" s="9">
        <v>23.9</v>
      </c>
      <c r="D44" t="s">
        <v>473</v>
      </c>
      <c r="E44" t="s">
        <v>484</v>
      </c>
    </row>
    <row r="45" spans="2:5" ht="13.5">
      <c r="B45" s="220" t="s">
        <v>75</v>
      </c>
      <c r="C45" s="9">
        <v>7.95</v>
      </c>
      <c r="E45" s="1" t="s">
        <v>74</v>
      </c>
    </row>
    <row r="46" spans="2:5" ht="13.5">
      <c r="B46" t="s">
        <v>600</v>
      </c>
      <c r="C46" s="9">
        <v>9.9</v>
      </c>
      <c r="E46" s="1" t="s">
        <v>481</v>
      </c>
    </row>
    <row r="47" spans="2:5" ht="13.5">
      <c r="B47" t="s">
        <v>15</v>
      </c>
      <c r="C47" s="9">
        <v>5.95</v>
      </c>
      <c r="D47" t="s">
        <v>71</v>
      </c>
      <c r="E47" s="1" t="s">
        <v>70</v>
      </c>
    </row>
    <row r="48" spans="2:5" ht="12.75">
      <c r="B48" t="s">
        <v>77</v>
      </c>
      <c r="C48" s="9">
        <v>3.45</v>
      </c>
      <c r="D48" t="s">
        <v>78</v>
      </c>
      <c r="E48" t="s">
        <v>76</v>
      </c>
    </row>
    <row r="49" ht="12.75">
      <c r="B49" t="s">
        <v>465</v>
      </c>
    </row>
    <row r="50" spans="2:5" ht="12.75">
      <c r="B50" t="s">
        <v>184</v>
      </c>
      <c r="C50" s="9">
        <v>19.95</v>
      </c>
      <c r="D50" t="s">
        <v>185</v>
      </c>
      <c r="E50" t="s">
        <v>183</v>
      </c>
    </row>
    <row r="51" ht="12.75">
      <c r="B51" s="220" t="s">
        <v>67</v>
      </c>
    </row>
    <row r="53" ht="12.75">
      <c r="B53" s="2" t="s">
        <v>221</v>
      </c>
    </row>
    <row r="54" spans="2:5" s="220" customFormat="1" ht="12.75">
      <c r="B54" s="220" t="s">
        <v>64</v>
      </c>
      <c r="C54" s="221">
        <v>14.95</v>
      </c>
      <c r="E54" s="220" t="s">
        <v>63</v>
      </c>
    </row>
    <row r="55" spans="2:5" ht="12.75">
      <c r="B55" t="s">
        <v>65</v>
      </c>
      <c r="C55" s="9">
        <v>8.95</v>
      </c>
      <c r="E55" t="s">
        <v>66</v>
      </c>
    </row>
    <row r="56" ht="12.75">
      <c r="B56" s="3" t="s">
        <v>68</v>
      </c>
    </row>
    <row r="57" spans="2:5" ht="12.75">
      <c r="B57" s="3" t="s">
        <v>495</v>
      </c>
      <c r="C57" s="9">
        <v>8.9</v>
      </c>
      <c r="E57" t="s">
        <v>494</v>
      </c>
    </row>
    <row r="58" spans="2:5" ht="13.5">
      <c r="B58" t="s">
        <v>469</v>
      </c>
      <c r="C58" s="9">
        <v>75.9</v>
      </c>
      <c r="E58" s="1" t="s">
        <v>479</v>
      </c>
    </row>
    <row r="59" spans="2:5" ht="12.75">
      <c r="B59" t="s">
        <v>470</v>
      </c>
      <c r="C59" s="9">
        <v>79.9</v>
      </c>
      <c r="E59" t="s">
        <v>480</v>
      </c>
    </row>
    <row r="60" spans="2:5" ht="12.75">
      <c r="B60" t="s">
        <v>601</v>
      </c>
      <c r="E60" t="s">
        <v>602</v>
      </c>
    </row>
    <row r="61" spans="2:5" ht="12.75">
      <c r="B61" t="s">
        <v>699</v>
      </c>
      <c r="C61" s="9">
        <v>169.99</v>
      </c>
      <c r="E61" t="s">
        <v>700</v>
      </c>
    </row>
    <row r="62" spans="2:5" ht="12.75">
      <c r="B62" t="s">
        <v>702</v>
      </c>
      <c r="C62" s="9">
        <v>14.99</v>
      </c>
      <c r="E62" t="s">
        <v>701</v>
      </c>
    </row>
    <row r="63" spans="2:5" ht="12.75">
      <c r="B63" t="s">
        <v>704</v>
      </c>
      <c r="C63" s="9">
        <v>49.99</v>
      </c>
      <c r="E63" t="s">
        <v>703</v>
      </c>
    </row>
    <row r="64" spans="2:5" ht="13.5">
      <c r="B64" t="s">
        <v>478</v>
      </c>
      <c r="C64" s="9">
        <v>92.9</v>
      </c>
      <c r="E64" s="1" t="s">
        <v>487</v>
      </c>
    </row>
    <row r="65" ht="12.75">
      <c r="B65" t="s">
        <v>709</v>
      </c>
    </row>
    <row r="66" spans="2:3" ht="12.75">
      <c r="B66" t="s">
        <v>710</v>
      </c>
      <c r="C66" s="9">
        <v>99</v>
      </c>
    </row>
    <row r="67" ht="12.75">
      <c r="B67" t="s">
        <v>720</v>
      </c>
    </row>
    <row r="70" spans="2:8" ht="12.75">
      <c r="B70" s="2" t="s">
        <v>722</v>
      </c>
      <c r="E70" t="s">
        <v>62</v>
      </c>
      <c r="F70" t="s">
        <v>726</v>
      </c>
      <c r="G70" t="s">
        <v>728</v>
      </c>
      <c r="H70" t="s">
        <v>727</v>
      </c>
    </row>
    <row r="71" spans="2:5" ht="13.5">
      <c r="B71" t="s">
        <v>399</v>
      </c>
      <c r="C71" s="9">
        <v>290</v>
      </c>
      <c r="E71" s="1" t="s">
        <v>398</v>
      </c>
    </row>
    <row r="72" spans="2:5" ht="13.5">
      <c r="B72" t="s">
        <v>401</v>
      </c>
      <c r="C72" s="9">
        <v>229</v>
      </c>
      <c r="E72" s="1" t="s">
        <v>400</v>
      </c>
    </row>
    <row r="73" spans="2:5" ht="12.75">
      <c r="B73" t="s">
        <v>403</v>
      </c>
      <c r="C73" s="9">
        <v>21.95</v>
      </c>
      <c r="E73" t="s">
        <v>402</v>
      </c>
    </row>
    <row r="74" spans="2:3" ht="17.25">
      <c r="B74" s="516" t="s">
        <v>723</v>
      </c>
      <c r="C74" s="9">
        <v>545</v>
      </c>
    </row>
    <row r="75" spans="2:3" ht="17.25">
      <c r="B75" s="516" t="s">
        <v>724</v>
      </c>
      <c r="C75" s="9">
        <v>575</v>
      </c>
    </row>
    <row r="76" spans="2:3" ht="17.25">
      <c r="B76" s="516" t="s">
        <v>725</v>
      </c>
      <c r="C76" s="9">
        <v>770</v>
      </c>
    </row>
    <row r="78" spans="2:5" ht="17.25">
      <c r="B78" s="516" t="s">
        <v>730</v>
      </c>
      <c r="E78" t="s">
        <v>729</v>
      </c>
    </row>
  </sheetData>
  <hyperlinks>
    <hyperlink ref="E45" r:id="rId1" display="http://bluestemwine.com/Merchant2/merchant.mvc?Screen=PROD&amp;Product_Code=03-54320&amp;Category_Code=CRVTESTNG"/>
    <hyperlink ref="E47" r:id="rId2" display="http://bluestemwine.com/Merchant2/merchant.mvc?Screen=PROD&amp;Product_Code=03-45760&amp;Category_Code=DLTLABELP"/>
    <hyperlink ref="E72" r:id="rId3" display="http://store.brewhut.com/index.asp?PageAction=VIEWPROD&amp;ProdID=260"/>
    <hyperlink ref="E71" r:id="rId4" display="http://store.brewhut.com/index.asp?PageAction=VIEWPROD&amp;ProdID=261"/>
    <hyperlink ref="E58" r:id="rId5" display="http://www.williamsbrewing.com/LOW_PRESSURE_BURNER_P418.cfm"/>
    <hyperlink ref="E40" r:id="rId6" display="http://www.williamsbrewing.com/GILDA_CORKER_P1299.cfm"/>
    <hyperlink ref="E64" r:id="rId7" display="http://www.williamsbrewing.com/WILLIAM_S_MASHING_SYSTEM_P191.cfm"/>
    <hyperlink ref="E30" r:id="rId8" display="http://www.williamsbrewing.com/STARR_CLASSIC_OPENER_P207C46.cfm"/>
    <hyperlink ref="E26" r:id="rId9" display="http://www.williamsbrewing.com/WYEAST_BEER_YEAST_NUTRIENT_1_5_P2C108.cfm"/>
    <hyperlink ref="E32" r:id="rId10" display="http://www.williamsbrewing.com/1_LITER_CLASSIC_GLASS_SELTZER__P1194C126.cfm"/>
    <hyperlink ref="E46" r:id="rId11" display="http://www.williamsbrewing.com/THE_THIEF_P435.cfm"/>
  </hyperlinks>
  <printOptions/>
  <pageMargins left="0.75" right="0.75" top="1" bottom="1" header="0.5" footer="0.5"/>
  <pageSetup horizontalDpi="300" verticalDpi="300" orientation="portrait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09"/>
  <sheetViews>
    <sheetView workbookViewId="0" topLeftCell="A1">
      <selection activeCell="H7" sqref="H7"/>
    </sheetView>
  </sheetViews>
  <sheetFormatPr defaultColWidth="9.140625" defaultRowHeight="12.75"/>
  <cols>
    <col min="1" max="1" width="2.421875" style="224" bestFit="1" customWidth="1"/>
    <col min="2" max="2" width="44.00390625" style="0" bestFit="1" customWidth="1"/>
    <col min="3" max="3" width="7.57421875" style="0" bestFit="1" customWidth="1"/>
    <col min="4" max="4" width="8.8515625" style="0" bestFit="1" customWidth="1"/>
    <col min="5" max="5" width="9.28125" style="0" bestFit="1" customWidth="1"/>
    <col min="6" max="6" width="1.7109375" style="0" bestFit="1" customWidth="1"/>
    <col min="7" max="7" width="4.140625" style="224" bestFit="1" customWidth="1"/>
    <col min="8" max="8" width="45.140625" style="0" bestFit="1" customWidth="1"/>
    <col min="9" max="9" width="14.7109375" style="0" bestFit="1" customWidth="1"/>
    <col min="10" max="10" width="10.00390625" style="0" bestFit="1" customWidth="1"/>
    <col min="11" max="11" width="8.7109375" style="0" bestFit="1" customWidth="1"/>
    <col min="12" max="12" width="1.7109375" style="0" bestFit="1" customWidth="1"/>
  </cols>
  <sheetData>
    <row r="1" spans="1:12" ht="12.75">
      <c r="A1" s="497" t="s">
        <v>719</v>
      </c>
      <c r="B1" s="369" t="s">
        <v>456</v>
      </c>
      <c r="C1" s="369" t="s">
        <v>38</v>
      </c>
      <c r="D1" s="370" t="s">
        <v>421</v>
      </c>
      <c r="E1" s="370" t="s">
        <v>568</v>
      </c>
      <c r="F1" t="s">
        <v>422</v>
      </c>
      <c r="G1" s="484" t="s">
        <v>719</v>
      </c>
      <c r="H1" s="395" t="s">
        <v>435</v>
      </c>
      <c r="I1" s="395" t="s">
        <v>38</v>
      </c>
      <c r="J1" s="396" t="s">
        <v>421</v>
      </c>
      <c r="K1" s="396" t="s">
        <v>568</v>
      </c>
      <c r="L1" t="s">
        <v>422</v>
      </c>
    </row>
    <row r="2" spans="1:12" ht="12.75">
      <c r="A2" s="498">
        <v>1</v>
      </c>
      <c r="B2" s="371" t="s">
        <v>571</v>
      </c>
      <c r="C2" s="372"/>
      <c r="D2" s="373"/>
      <c r="E2" s="373" t="s">
        <v>620</v>
      </c>
      <c r="F2" t="s">
        <v>422</v>
      </c>
      <c r="G2" s="485">
        <v>3</v>
      </c>
      <c r="H2" s="397" t="s">
        <v>624</v>
      </c>
      <c r="I2" s="397" t="s">
        <v>40</v>
      </c>
      <c r="J2" s="398"/>
      <c r="K2" s="398"/>
      <c r="L2" t="s">
        <v>422</v>
      </c>
    </row>
    <row r="3" spans="1:12" ht="12.75">
      <c r="A3" s="498">
        <v>1</v>
      </c>
      <c r="B3" s="371" t="s">
        <v>572</v>
      </c>
      <c r="C3" s="372"/>
      <c r="D3" s="374"/>
      <c r="E3" s="373" t="s">
        <v>620</v>
      </c>
      <c r="F3" t="s">
        <v>422</v>
      </c>
      <c r="G3" s="485">
        <v>2</v>
      </c>
      <c r="H3" s="397" t="s">
        <v>577</v>
      </c>
      <c r="I3" s="397"/>
      <c r="J3" s="398"/>
      <c r="K3" s="398"/>
      <c r="L3" t="s">
        <v>422</v>
      </c>
    </row>
    <row r="4" spans="1:12" ht="12.75">
      <c r="A4" s="498">
        <v>1</v>
      </c>
      <c r="B4" s="371" t="s">
        <v>569</v>
      </c>
      <c r="C4" s="372"/>
      <c r="D4" s="374"/>
      <c r="E4" s="373" t="s">
        <v>620</v>
      </c>
      <c r="F4" t="s">
        <v>422</v>
      </c>
      <c r="G4" s="485">
        <v>1</v>
      </c>
      <c r="H4" s="397" t="s">
        <v>423</v>
      </c>
      <c r="I4" s="399"/>
      <c r="J4" s="400">
        <v>16.95</v>
      </c>
      <c r="K4" s="400"/>
      <c r="L4" t="s">
        <v>422</v>
      </c>
    </row>
    <row r="5" spans="1:12" ht="12.75">
      <c r="A5" s="498">
        <v>1</v>
      </c>
      <c r="B5" s="371" t="s">
        <v>132</v>
      </c>
      <c r="C5" s="371"/>
      <c r="D5" s="375"/>
      <c r="E5" s="444" t="s">
        <v>620</v>
      </c>
      <c r="F5" t="s">
        <v>422</v>
      </c>
      <c r="G5" s="485">
        <v>1</v>
      </c>
      <c r="H5" s="397" t="s">
        <v>424</v>
      </c>
      <c r="I5" s="399"/>
      <c r="J5" s="400">
        <v>16.95</v>
      </c>
      <c r="K5" s="400"/>
      <c r="L5" t="s">
        <v>422</v>
      </c>
    </row>
    <row r="6" spans="1:12" ht="12.75">
      <c r="A6" s="498">
        <v>1</v>
      </c>
      <c r="B6" s="371" t="s">
        <v>414</v>
      </c>
      <c r="C6" s="371"/>
      <c r="D6" s="375">
        <v>6.9</v>
      </c>
      <c r="E6" s="444" t="s">
        <v>620</v>
      </c>
      <c r="F6" t="s">
        <v>422</v>
      </c>
      <c r="G6" s="485">
        <v>1</v>
      </c>
      <c r="H6" s="397" t="s">
        <v>413</v>
      </c>
      <c r="I6" s="399"/>
      <c r="J6" s="401"/>
      <c r="K6" s="401"/>
      <c r="L6" t="s">
        <v>422</v>
      </c>
    </row>
    <row r="7" spans="1:12" ht="12.75">
      <c r="A7" s="498">
        <v>1</v>
      </c>
      <c r="B7" s="371" t="s">
        <v>570</v>
      </c>
      <c r="C7" s="371"/>
      <c r="D7" s="375"/>
      <c r="E7" s="444" t="s">
        <v>620</v>
      </c>
      <c r="F7" t="s">
        <v>422</v>
      </c>
      <c r="G7" s="485">
        <v>1</v>
      </c>
      <c r="H7" s="397" t="s">
        <v>44</v>
      </c>
      <c r="I7" s="399"/>
      <c r="J7" s="401"/>
      <c r="K7" s="401"/>
      <c r="L7" t="s">
        <v>422</v>
      </c>
    </row>
    <row r="8" spans="1:12" ht="12.75">
      <c r="A8" s="498">
        <v>1</v>
      </c>
      <c r="B8" s="371" t="s">
        <v>606</v>
      </c>
      <c r="C8" s="371"/>
      <c r="D8" s="375"/>
      <c r="E8" s="444" t="s">
        <v>620</v>
      </c>
      <c r="F8" t="s">
        <v>422</v>
      </c>
      <c r="G8" s="485">
        <v>1</v>
      </c>
      <c r="H8" s="397" t="s">
        <v>404</v>
      </c>
      <c r="I8" s="399"/>
      <c r="J8" s="401"/>
      <c r="K8" s="401"/>
      <c r="L8" t="s">
        <v>422</v>
      </c>
    </row>
    <row r="9" spans="1:12" ht="12.75">
      <c r="A9" s="498">
        <v>1</v>
      </c>
      <c r="B9" s="371" t="s">
        <v>607</v>
      </c>
      <c r="C9" s="371"/>
      <c r="D9" s="375"/>
      <c r="E9" s="444" t="s">
        <v>620</v>
      </c>
      <c r="F9" t="s">
        <v>422</v>
      </c>
      <c r="G9" s="485">
        <v>1</v>
      </c>
      <c r="H9" s="397" t="s">
        <v>578</v>
      </c>
      <c r="I9" s="399"/>
      <c r="J9" s="401"/>
      <c r="K9" s="401"/>
      <c r="L9" t="s">
        <v>422</v>
      </c>
    </row>
    <row r="10" spans="1:12" ht="12.75">
      <c r="A10" s="498">
        <v>1</v>
      </c>
      <c r="B10" s="371" t="s">
        <v>131</v>
      </c>
      <c r="C10" s="371"/>
      <c r="D10" s="375"/>
      <c r="E10" s="444" t="s">
        <v>620</v>
      </c>
      <c r="F10" t="s">
        <v>422</v>
      </c>
      <c r="G10" s="485">
        <v>1</v>
      </c>
      <c r="H10" s="397" t="s">
        <v>197</v>
      </c>
      <c r="I10" s="399"/>
      <c r="J10" s="401"/>
      <c r="K10" s="401"/>
      <c r="L10" t="s">
        <v>422</v>
      </c>
    </row>
    <row r="11" spans="1:12" ht="12.75">
      <c r="A11" s="498">
        <v>1</v>
      </c>
      <c r="B11" s="371" t="s">
        <v>632</v>
      </c>
      <c r="C11" s="371"/>
      <c r="D11" s="375"/>
      <c r="E11" s="444" t="s">
        <v>620</v>
      </c>
      <c r="F11" t="s">
        <v>422</v>
      </c>
      <c r="G11" s="485">
        <v>1</v>
      </c>
      <c r="H11" s="397" t="s">
        <v>579</v>
      </c>
      <c r="I11" s="399"/>
      <c r="J11" s="401"/>
      <c r="K11" s="401"/>
      <c r="L11" t="s">
        <v>422</v>
      </c>
    </row>
    <row r="12" spans="1:12" ht="12.75">
      <c r="A12" s="498">
        <v>1</v>
      </c>
      <c r="B12" s="371" t="s">
        <v>81</v>
      </c>
      <c r="C12" s="371"/>
      <c r="D12" s="375"/>
      <c r="E12" s="444" t="s">
        <v>620</v>
      </c>
      <c r="F12" t="s">
        <v>422</v>
      </c>
      <c r="G12" s="485">
        <v>1</v>
      </c>
      <c r="H12" s="397" t="s">
        <v>581</v>
      </c>
      <c r="I12" s="399"/>
      <c r="J12" s="401"/>
      <c r="K12" s="401"/>
      <c r="L12" t="s">
        <v>422</v>
      </c>
    </row>
    <row r="13" spans="1:12" ht="12.75">
      <c r="A13" s="498">
        <v>1</v>
      </c>
      <c r="B13" s="371" t="s">
        <v>634</v>
      </c>
      <c r="C13" s="371"/>
      <c r="D13" s="375"/>
      <c r="E13" s="444" t="s">
        <v>620</v>
      </c>
      <c r="F13" t="s">
        <v>422</v>
      </c>
      <c r="G13" s="485">
        <v>1</v>
      </c>
      <c r="H13" s="397" t="s">
        <v>81</v>
      </c>
      <c r="I13" s="399"/>
      <c r="J13" s="401"/>
      <c r="K13" s="401"/>
      <c r="L13" t="s">
        <v>422</v>
      </c>
    </row>
    <row r="14" spans="1:12" ht="12.75">
      <c r="A14" s="498">
        <v>1</v>
      </c>
      <c r="B14" s="371" t="s">
        <v>635</v>
      </c>
      <c r="C14" s="371"/>
      <c r="D14" s="375"/>
      <c r="E14" s="444" t="s">
        <v>620</v>
      </c>
      <c r="F14" t="s">
        <v>422</v>
      </c>
      <c r="G14" s="485">
        <v>1</v>
      </c>
      <c r="H14" s="397" t="s">
        <v>582</v>
      </c>
      <c r="I14" s="399"/>
      <c r="J14" s="401"/>
      <c r="K14" s="401"/>
      <c r="L14" t="s">
        <v>422</v>
      </c>
    </row>
    <row r="15" spans="1:12" ht="13.5">
      <c r="A15" s="498">
        <v>1</v>
      </c>
      <c r="B15" s="371" t="s">
        <v>633</v>
      </c>
      <c r="C15" s="371"/>
      <c r="D15" s="375"/>
      <c r="E15" s="444" t="s">
        <v>620</v>
      </c>
      <c r="F15" t="s">
        <v>422</v>
      </c>
      <c r="G15" s="485">
        <v>1</v>
      </c>
      <c r="H15" s="397" t="s">
        <v>580</v>
      </c>
      <c r="I15" s="397"/>
      <c r="J15" s="480">
        <v>11.95</v>
      </c>
      <c r="K15" s="398"/>
      <c r="L15" t="s">
        <v>422</v>
      </c>
    </row>
    <row r="16" spans="1:12" ht="12.75">
      <c r="A16" s="498">
        <v>1</v>
      </c>
      <c r="B16" s="371" t="s">
        <v>429</v>
      </c>
      <c r="C16" s="371" t="s">
        <v>618</v>
      </c>
      <c r="D16" s="375"/>
      <c r="E16" s="444" t="s">
        <v>620</v>
      </c>
      <c r="F16" t="s">
        <v>422</v>
      </c>
      <c r="G16" s="485">
        <v>1</v>
      </c>
      <c r="H16" s="397" t="s">
        <v>643</v>
      </c>
      <c r="I16" s="397"/>
      <c r="J16" s="398"/>
      <c r="K16" s="398"/>
      <c r="L16" t="s">
        <v>422</v>
      </c>
    </row>
    <row r="17" spans="1:12" ht="13.5">
      <c r="A17" s="498">
        <v>1</v>
      </c>
      <c r="B17" s="371" t="s">
        <v>429</v>
      </c>
      <c r="C17" s="371" t="s">
        <v>619</v>
      </c>
      <c r="D17" s="375"/>
      <c r="E17" s="444" t="s">
        <v>620</v>
      </c>
      <c r="F17" t="s">
        <v>422</v>
      </c>
      <c r="G17" s="485">
        <v>1</v>
      </c>
      <c r="H17" s="397" t="s">
        <v>561</v>
      </c>
      <c r="I17" s="397">
        <v>2.5</v>
      </c>
      <c r="J17" s="480">
        <v>2.5</v>
      </c>
      <c r="K17" s="398"/>
      <c r="L17" t="s">
        <v>422</v>
      </c>
    </row>
    <row r="18" spans="6:12" ht="12.75">
      <c r="F18" t="s">
        <v>422</v>
      </c>
      <c r="G18" s="485">
        <v>1</v>
      </c>
      <c r="H18" s="397" t="s">
        <v>625</v>
      </c>
      <c r="I18" s="397"/>
      <c r="J18" s="398"/>
      <c r="K18" s="398"/>
      <c r="L18" t="s">
        <v>422</v>
      </c>
    </row>
    <row r="19" spans="6:12" ht="13.5" thickBot="1">
      <c r="F19" t="s">
        <v>422</v>
      </c>
      <c r="L19" t="s">
        <v>422</v>
      </c>
    </row>
    <row r="20" spans="1:12" ht="13.5" thickBot="1">
      <c r="A20" s="499" t="s">
        <v>719</v>
      </c>
      <c r="B20" s="376" t="s">
        <v>437</v>
      </c>
      <c r="C20" s="376" t="s">
        <v>38</v>
      </c>
      <c r="D20" s="377" t="s">
        <v>421</v>
      </c>
      <c r="E20" s="377" t="s">
        <v>568</v>
      </c>
      <c r="F20" t="s">
        <v>422</v>
      </c>
      <c r="L20" t="s">
        <v>422</v>
      </c>
    </row>
    <row r="21" spans="1:12" ht="12.75">
      <c r="A21" s="500">
        <v>1</v>
      </c>
      <c r="B21" s="378" t="s">
        <v>611</v>
      </c>
      <c r="C21" s="378" t="s">
        <v>411</v>
      </c>
      <c r="D21" s="379">
        <v>39.95</v>
      </c>
      <c r="E21" s="379"/>
      <c r="F21" t="s">
        <v>422</v>
      </c>
      <c r="G21" s="486" t="s">
        <v>719</v>
      </c>
      <c r="H21" s="402" t="s">
        <v>436</v>
      </c>
      <c r="I21" s="402" t="s">
        <v>38</v>
      </c>
      <c r="J21" s="403" t="s">
        <v>421</v>
      </c>
      <c r="K21" s="403" t="s">
        <v>568</v>
      </c>
      <c r="L21" t="s">
        <v>422</v>
      </c>
    </row>
    <row r="22" spans="1:12" ht="13.5">
      <c r="A22" s="500">
        <v>1</v>
      </c>
      <c r="B22" s="378" t="s">
        <v>652</v>
      </c>
      <c r="C22" s="378"/>
      <c r="D22" s="479">
        <v>39.9</v>
      </c>
      <c r="E22" s="379"/>
      <c r="F22" t="s">
        <v>422</v>
      </c>
      <c r="G22" s="487">
        <v>1</v>
      </c>
      <c r="H22" s="404" t="s">
        <v>587</v>
      </c>
      <c r="I22" s="404"/>
      <c r="J22" s="405"/>
      <c r="K22" s="405"/>
      <c r="L22" t="s">
        <v>422</v>
      </c>
    </row>
    <row r="23" spans="1:12" ht="13.5">
      <c r="A23" s="500">
        <v>1</v>
      </c>
      <c r="B23" s="378" t="s">
        <v>613</v>
      </c>
      <c r="C23" s="378" t="s">
        <v>612</v>
      </c>
      <c r="D23" s="379"/>
      <c r="E23" s="379"/>
      <c r="F23" t="s">
        <v>422</v>
      </c>
      <c r="G23" s="487">
        <v>1</v>
      </c>
      <c r="H23" s="404" t="s">
        <v>409</v>
      </c>
      <c r="I23" s="404"/>
      <c r="J23" s="481">
        <v>135</v>
      </c>
      <c r="K23" s="440"/>
      <c r="L23" t="s">
        <v>422</v>
      </c>
    </row>
    <row r="24" spans="1:12" ht="12.75">
      <c r="A24" s="500">
        <v>2</v>
      </c>
      <c r="B24" s="378" t="s">
        <v>718</v>
      </c>
      <c r="C24" s="378" t="s">
        <v>717</v>
      </c>
      <c r="D24" s="379"/>
      <c r="E24" s="379"/>
      <c r="F24" t="s">
        <v>422</v>
      </c>
      <c r="G24" s="487">
        <v>1</v>
      </c>
      <c r="H24" s="404" t="s">
        <v>589</v>
      </c>
      <c r="I24" s="404"/>
      <c r="J24" s="405"/>
      <c r="K24" s="405"/>
      <c r="L24" t="s">
        <v>422</v>
      </c>
    </row>
    <row r="25" spans="1:12" ht="12.75">
      <c r="A25" s="500">
        <v>1</v>
      </c>
      <c r="B25" s="378" t="s">
        <v>711</v>
      </c>
      <c r="C25" s="378"/>
      <c r="D25" s="379"/>
      <c r="E25" s="379"/>
      <c r="F25" t="s">
        <v>422</v>
      </c>
      <c r="G25" s="487">
        <v>1</v>
      </c>
      <c r="H25" s="404" t="s">
        <v>391</v>
      </c>
      <c r="I25" s="404"/>
      <c r="J25" s="405"/>
      <c r="K25" s="405"/>
      <c r="L25" t="s">
        <v>422</v>
      </c>
    </row>
    <row r="26" spans="1:12" ht="12.75">
      <c r="A26" s="500">
        <v>1</v>
      </c>
      <c r="B26" s="380" t="s">
        <v>463</v>
      </c>
      <c r="C26" s="378" t="s">
        <v>464</v>
      </c>
      <c r="D26" s="379"/>
      <c r="E26" s="379"/>
      <c r="F26" t="s">
        <v>422</v>
      </c>
      <c r="G26" s="487">
        <v>1</v>
      </c>
      <c r="H26" s="404" t="s">
        <v>410</v>
      </c>
      <c r="I26" s="404"/>
      <c r="J26" s="405"/>
      <c r="K26" s="405"/>
      <c r="L26" t="s">
        <v>422</v>
      </c>
    </row>
    <row r="27" spans="1:12" ht="12.75">
      <c r="A27" s="500">
        <v>1</v>
      </c>
      <c r="B27" s="380" t="s">
        <v>130</v>
      </c>
      <c r="C27" s="381"/>
      <c r="D27" s="382"/>
      <c r="E27" s="382"/>
      <c r="F27" t="s">
        <v>422</v>
      </c>
      <c r="G27" s="487">
        <v>1</v>
      </c>
      <c r="H27" s="404" t="s">
        <v>416</v>
      </c>
      <c r="I27" s="404"/>
      <c r="J27" s="405"/>
      <c r="K27" s="405"/>
      <c r="L27" t="s">
        <v>422</v>
      </c>
    </row>
    <row r="28" spans="1:12" ht="12.75">
      <c r="A28" s="500">
        <v>1</v>
      </c>
      <c r="B28" s="380" t="s">
        <v>608</v>
      </c>
      <c r="C28" s="380" t="s">
        <v>609</v>
      </c>
      <c r="D28" s="382"/>
      <c r="E28" s="382"/>
      <c r="F28" t="s">
        <v>422</v>
      </c>
      <c r="G28" s="487">
        <v>1</v>
      </c>
      <c r="H28" s="404" t="s">
        <v>415</v>
      </c>
      <c r="I28" s="404"/>
      <c r="J28" s="405"/>
      <c r="K28" s="405"/>
      <c r="L28" t="s">
        <v>422</v>
      </c>
    </row>
    <row r="29" spans="1:12" ht="12.75">
      <c r="A29" s="500">
        <v>1</v>
      </c>
      <c r="B29" s="380" t="s">
        <v>69</v>
      </c>
      <c r="C29" s="378"/>
      <c r="D29" s="379"/>
      <c r="E29" s="379"/>
      <c r="F29" t="s">
        <v>422</v>
      </c>
      <c r="G29" s="487">
        <v>1</v>
      </c>
      <c r="H29" s="404" t="s">
        <v>698</v>
      </c>
      <c r="I29" s="404"/>
      <c r="J29" s="405"/>
      <c r="K29" s="405"/>
      <c r="L29" t="s">
        <v>422</v>
      </c>
    </row>
    <row r="30" spans="1:12" ht="13.5">
      <c r="A30" s="500">
        <v>1</v>
      </c>
      <c r="B30" s="378" t="s">
        <v>574</v>
      </c>
      <c r="C30" s="379"/>
      <c r="D30" s="379"/>
      <c r="E30" s="379"/>
      <c r="F30" t="s">
        <v>422</v>
      </c>
      <c r="G30" s="487">
        <v>1</v>
      </c>
      <c r="H30" s="404" t="s">
        <v>488</v>
      </c>
      <c r="I30" s="404">
        <v>19.9</v>
      </c>
      <c r="J30" s="481">
        <v>9</v>
      </c>
      <c r="K30" s="405"/>
      <c r="L30" t="s">
        <v>422</v>
      </c>
    </row>
    <row r="31" spans="1:12" ht="13.5">
      <c r="A31" s="500">
        <v>1</v>
      </c>
      <c r="B31" s="378" t="s">
        <v>395</v>
      </c>
      <c r="C31" s="379"/>
      <c r="D31" s="379"/>
      <c r="E31" s="379"/>
      <c r="F31" t="s">
        <v>422</v>
      </c>
      <c r="G31" s="487">
        <v>1</v>
      </c>
      <c r="H31" s="404" t="s">
        <v>491</v>
      </c>
      <c r="I31" s="404">
        <v>3.9</v>
      </c>
      <c r="J31" s="481">
        <v>3</v>
      </c>
      <c r="K31" s="405"/>
      <c r="L31" t="s">
        <v>422</v>
      </c>
    </row>
    <row r="32" spans="1:12" ht="12.75">
      <c r="A32" s="500">
        <v>2</v>
      </c>
      <c r="B32" s="378" t="s">
        <v>573</v>
      </c>
      <c r="C32" s="378"/>
      <c r="D32" s="379"/>
      <c r="E32" s="379"/>
      <c r="F32" t="s">
        <v>422</v>
      </c>
      <c r="G32" s="487">
        <v>1</v>
      </c>
      <c r="H32" s="404" t="s">
        <v>532</v>
      </c>
      <c r="I32" s="404"/>
      <c r="J32" s="405"/>
      <c r="K32" s="405"/>
      <c r="L32" t="s">
        <v>422</v>
      </c>
    </row>
    <row r="33" spans="1:12" ht="12.75">
      <c r="A33" s="500">
        <v>1</v>
      </c>
      <c r="B33" s="380" t="s">
        <v>610</v>
      </c>
      <c r="C33" s="378"/>
      <c r="D33" s="379"/>
      <c r="E33" s="379"/>
      <c r="F33" t="s">
        <v>422</v>
      </c>
      <c r="G33" s="487">
        <v>2</v>
      </c>
      <c r="H33" s="404" t="s">
        <v>462</v>
      </c>
      <c r="I33" s="404" t="s">
        <v>408</v>
      </c>
      <c r="J33" s="405">
        <f>65/4</f>
        <v>16.25</v>
      </c>
      <c r="K33" s="405"/>
      <c r="L33" t="s">
        <v>422</v>
      </c>
    </row>
    <row r="34" spans="1:12" ht="12.75">
      <c r="A34" s="224" t="s">
        <v>422</v>
      </c>
      <c r="F34" t="s">
        <v>422</v>
      </c>
      <c r="G34" s="487">
        <v>1</v>
      </c>
      <c r="H34" s="404" t="s">
        <v>588</v>
      </c>
      <c r="I34" s="404" t="s">
        <v>434</v>
      </c>
      <c r="J34" s="405"/>
      <c r="K34" s="405"/>
      <c r="L34" t="s">
        <v>422</v>
      </c>
    </row>
    <row r="35" spans="6:12" ht="13.5" customHeight="1" thickBot="1">
      <c r="F35" t="s">
        <v>422</v>
      </c>
      <c r="L35" t="s">
        <v>422</v>
      </c>
    </row>
    <row r="36" spans="1:12" ht="13.5" thickBot="1">
      <c r="A36" s="501" t="s">
        <v>719</v>
      </c>
      <c r="B36" s="383" t="s">
        <v>439</v>
      </c>
      <c r="C36" s="383" t="s">
        <v>38</v>
      </c>
      <c r="D36" s="384" t="s">
        <v>421</v>
      </c>
      <c r="E36" s="384" t="s">
        <v>568</v>
      </c>
      <c r="F36" t="s">
        <v>422</v>
      </c>
      <c r="L36" t="s">
        <v>422</v>
      </c>
    </row>
    <row r="37" spans="1:12" ht="12.75">
      <c r="A37" s="502">
        <v>1</v>
      </c>
      <c r="B37" s="385" t="s">
        <v>443</v>
      </c>
      <c r="C37" s="385" t="s">
        <v>40</v>
      </c>
      <c r="D37" s="386"/>
      <c r="E37" s="442" t="s">
        <v>616</v>
      </c>
      <c r="F37" t="s">
        <v>422</v>
      </c>
      <c r="G37" s="488" t="s">
        <v>719</v>
      </c>
      <c r="H37" s="420" t="s">
        <v>15</v>
      </c>
      <c r="I37" s="420" t="s">
        <v>38</v>
      </c>
      <c r="J37" s="421" t="s">
        <v>421</v>
      </c>
      <c r="K37" s="421" t="s">
        <v>568</v>
      </c>
      <c r="L37" t="s">
        <v>422</v>
      </c>
    </row>
    <row r="38" spans="1:12" ht="12.75">
      <c r="A38" s="502">
        <v>1</v>
      </c>
      <c r="B38" s="385" t="s">
        <v>576</v>
      </c>
      <c r="C38" s="387"/>
      <c r="D38" s="388"/>
      <c r="E38" s="388" t="s">
        <v>616</v>
      </c>
      <c r="F38" t="s">
        <v>422</v>
      </c>
      <c r="G38" s="489">
        <v>4</v>
      </c>
      <c r="H38" s="422" t="s">
        <v>432</v>
      </c>
      <c r="I38" s="422" t="s">
        <v>433</v>
      </c>
      <c r="J38" s="423">
        <v>0</v>
      </c>
      <c r="K38" s="423"/>
      <c r="L38" t="s">
        <v>422</v>
      </c>
    </row>
    <row r="39" spans="1:12" ht="12.75">
      <c r="A39" s="502">
        <v>1</v>
      </c>
      <c r="B39" s="385" t="s">
        <v>575</v>
      </c>
      <c r="C39" s="385"/>
      <c r="D39" s="386"/>
      <c r="E39" s="442" t="s">
        <v>616</v>
      </c>
      <c r="F39" t="s">
        <v>422</v>
      </c>
      <c r="G39" s="489">
        <v>48</v>
      </c>
      <c r="H39" s="422" t="s">
        <v>134</v>
      </c>
      <c r="I39" s="422" t="s">
        <v>135</v>
      </c>
      <c r="J39" s="423"/>
      <c r="K39" s="423"/>
      <c r="L39" t="s">
        <v>422</v>
      </c>
    </row>
    <row r="40" spans="1:12" ht="12.75">
      <c r="A40" s="502">
        <v>1</v>
      </c>
      <c r="B40" s="385" t="s">
        <v>447</v>
      </c>
      <c r="C40" s="385" t="s">
        <v>412</v>
      </c>
      <c r="D40" s="386"/>
      <c r="E40" s="442" t="s">
        <v>616</v>
      </c>
      <c r="F40" t="s">
        <v>422</v>
      </c>
      <c r="G40" s="489">
        <v>48</v>
      </c>
      <c r="H40" s="422" t="s">
        <v>431</v>
      </c>
      <c r="I40" s="422" t="s">
        <v>430</v>
      </c>
      <c r="J40" s="423"/>
      <c r="K40" s="423"/>
      <c r="L40" t="s">
        <v>422</v>
      </c>
    </row>
    <row r="41" spans="1:12" ht="12.75">
      <c r="A41" s="502">
        <v>1</v>
      </c>
      <c r="B41" s="385" t="s">
        <v>453</v>
      </c>
      <c r="C41" s="387"/>
      <c r="D41" s="388"/>
      <c r="E41" s="388" t="s">
        <v>616</v>
      </c>
      <c r="F41" t="s">
        <v>422</v>
      </c>
      <c r="G41" s="489">
        <v>16</v>
      </c>
      <c r="H41" s="422" t="s">
        <v>108</v>
      </c>
      <c r="I41" s="422" t="s">
        <v>133</v>
      </c>
      <c r="J41" s="423"/>
      <c r="K41" s="423"/>
      <c r="L41" t="s">
        <v>422</v>
      </c>
    </row>
    <row r="42" spans="6:12" ht="12.75">
      <c r="F42" t="s">
        <v>422</v>
      </c>
      <c r="G42" s="489">
        <v>6</v>
      </c>
      <c r="H42" s="422" t="s">
        <v>716</v>
      </c>
      <c r="I42" s="422" t="s">
        <v>715</v>
      </c>
      <c r="J42" s="423"/>
      <c r="K42" s="423"/>
      <c r="L42" t="s">
        <v>422</v>
      </c>
    </row>
    <row r="43" spans="1:12" ht="13.5" thickBot="1">
      <c r="A43" s="224" t="s">
        <v>422</v>
      </c>
      <c r="F43" t="s">
        <v>422</v>
      </c>
      <c r="G43" s="489">
        <v>40</v>
      </c>
      <c r="H43" s="422" t="s">
        <v>136</v>
      </c>
      <c r="I43" s="422"/>
      <c r="J43" s="423"/>
      <c r="K43" s="423"/>
      <c r="L43" t="s">
        <v>422</v>
      </c>
    </row>
    <row r="44" spans="1:12" ht="12.75">
      <c r="A44" s="501" t="s">
        <v>719</v>
      </c>
      <c r="B44" s="383" t="s">
        <v>440</v>
      </c>
      <c r="C44" s="383" t="s">
        <v>38</v>
      </c>
      <c r="D44" s="384" t="s">
        <v>421</v>
      </c>
      <c r="E44" s="384" t="s">
        <v>568</v>
      </c>
      <c r="F44" t="s">
        <v>422</v>
      </c>
      <c r="G44" s="489">
        <v>144</v>
      </c>
      <c r="H44" s="422" t="s">
        <v>197</v>
      </c>
      <c r="I44" s="422"/>
      <c r="J44" s="423">
        <v>4.95</v>
      </c>
      <c r="K44" s="423"/>
      <c r="L44" t="s">
        <v>422</v>
      </c>
    </row>
    <row r="45" spans="1:12" ht="12.75">
      <c r="A45" s="502">
        <v>1</v>
      </c>
      <c r="B45" s="385" t="s">
        <v>444</v>
      </c>
      <c r="C45" s="385" t="s">
        <v>40</v>
      </c>
      <c r="D45" s="386"/>
      <c r="E45" s="386"/>
      <c r="F45" t="s">
        <v>422</v>
      </c>
      <c r="G45" s="489">
        <v>256</v>
      </c>
      <c r="H45" s="422" t="s">
        <v>197</v>
      </c>
      <c r="I45" s="422"/>
      <c r="J45" s="423"/>
      <c r="K45" s="423"/>
      <c r="L45" t="s">
        <v>422</v>
      </c>
    </row>
    <row r="46" spans="1:12" ht="12.75">
      <c r="A46" s="502">
        <v>1</v>
      </c>
      <c r="B46" s="385" t="s">
        <v>622</v>
      </c>
      <c r="C46" s="387"/>
      <c r="D46" s="388"/>
      <c r="E46" s="388"/>
      <c r="F46" t="s">
        <v>422</v>
      </c>
      <c r="L46" t="s">
        <v>422</v>
      </c>
    </row>
    <row r="47" spans="1:12" ht="13.5" thickBot="1">
      <c r="A47" s="502">
        <v>1</v>
      </c>
      <c r="B47" s="385" t="s">
        <v>448</v>
      </c>
      <c r="C47" s="385" t="s">
        <v>412</v>
      </c>
      <c r="D47" s="386"/>
      <c r="E47" s="386"/>
      <c r="F47" t="s">
        <v>422</v>
      </c>
      <c r="L47" t="s">
        <v>422</v>
      </c>
    </row>
    <row r="48" spans="1:12" ht="12.75">
      <c r="A48" s="502">
        <v>1</v>
      </c>
      <c r="B48" s="385" t="s">
        <v>575</v>
      </c>
      <c r="C48" s="385"/>
      <c r="D48" s="386"/>
      <c r="E48" s="386"/>
      <c r="F48" t="s">
        <v>422</v>
      </c>
      <c r="G48" s="490" t="s">
        <v>719</v>
      </c>
      <c r="H48" s="406" t="s">
        <v>455</v>
      </c>
      <c r="I48" s="406" t="s">
        <v>38</v>
      </c>
      <c r="J48" s="407" t="s">
        <v>421</v>
      </c>
      <c r="K48" s="407" t="s">
        <v>568</v>
      </c>
      <c r="L48" t="s">
        <v>422</v>
      </c>
    </row>
    <row r="49" spans="1:12" ht="12.75">
      <c r="A49" s="502">
        <v>1</v>
      </c>
      <c r="B49" s="385" t="s">
        <v>454</v>
      </c>
      <c r="C49" s="387"/>
      <c r="D49" s="388"/>
      <c r="E49" s="388"/>
      <c r="F49" t="s">
        <v>422</v>
      </c>
      <c r="G49" s="491">
        <v>1</v>
      </c>
      <c r="H49" s="408" t="s">
        <v>459</v>
      </c>
      <c r="I49" s="409"/>
      <c r="J49" s="410"/>
      <c r="K49" s="410"/>
      <c r="L49" t="s">
        <v>422</v>
      </c>
    </row>
    <row r="50" spans="1:12" ht="12.75">
      <c r="A50" s="502">
        <v>1</v>
      </c>
      <c r="B50" s="385" t="s">
        <v>625</v>
      </c>
      <c r="C50" s="445" t="s">
        <v>623</v>
      </c>
      <c r="D50" s="388"/>
      <c r="E50" s="388"/>
      <c r="F50" t="s">
        <v>422</v>
      </c>
      <c r="G50" s="491">
        <v>1</v>
      </c>
      <c r="H50" s="409" t="s">
        <v>460</v>
      </c>
      <c r="I50" s="409"/>
      <c r="J50" s="410"/>
      <c r="K50" s="410"/>
      <c r="L50" t="s">
        <v>422</v>
      </c>
    </row>
    <row r="51" spans="6:12" ht="12.75">
      <c r="F51" t="s">
        <v>422</v>
      </c>
      <c r="G51" s="491">
        <v>1</v>
      </c>
      <c r="H51" s="408" t="s">
        <v>461</v>
      </c>
      <c r="I51" s="409"/>
      <c r="J51" s="410"/>
      <c r="K51" s="410"/>
      <c r="L51" t="s">
        <v>422</v>
      </c>
    </row>
    <row r="52" spans="6:12" ht="13.5" thickBot="1">
      <c r="F52" t="s">
        <v>422</v>
      </c>
      <c r="G52" s="491">
        <v>1</v>
      </c>
      <c r="H52" s="409" t="s">
        <v>461</v>
      </c>
      <c r="I52" s="411"/>
      <c r="J52" s="412"/>
      <c r="K52" s="412"/>
      <c r="L52" t="s">
        <v>422</v>
      </c>
    </row>
    <row r="53" spans="1:12" ht="12.75">
      <c r="A53" s="503" t="s">
        <v>719</v>
      </c>
      <c r="B53" s="389" t="s">
        <v>442</v>
      </c>
      <c r="C53" s="389" t="s">
        <v>38</v>
      </c>
      <c r="D53" s="390" t="s">
        <v>421</v>
      </c>
      <c r="E53" s="390" t="s">
        <v>568</v>
      </c>
      <c r="F53" t="s">
        <v>422</v>
      </c>
      <c r="L53" t="s">
        <v>422</v>
      </c>
    </row>
    <row r="54" spans="1:12" ht="13.5" thickBot="1">
      <c r="A54" s="504">
        <v>1</v>
      </c>
      <c r="B54" s="391" t="s">
        <v>445</v>
      </c>
      <c r="C54" s="391" t="s">
        <v>43</v>
      </c>
      <c r="D54" s="392"/>
      <c r="E54" s="443"/>
      <c r="F54" t="s">
        <v>422</v>
      </c>
      <c r="L54" t="s">
        <v>422</v>
      </c>
    </row>
    <row r="55" spans="1:12" ht="12.75">
      <c r="A55" s="504">
        <v>1</v>
      </c>
      <c r="B55" s="391" t="s">
        <v>452</v>
      </c>
      <c r="C55" s="391" t="s">
        <v>411</v>
      </c>
      <c r="D55" s="392"/>
      <c r="E55" s="443"/>
      <c r="F55" t="s">
        <v>422</v>
      </c>
      <c r="G55" s="492" t="s">
        <v>719</v>
      </c>
      <c r="H55" s="424" t="s">
        <v>438</v>
      </c>
      <c r="I55" s="424" t="s">
        <v>38</v>
      </c>
      <c r="J55" s="425" t="s">
        <v>421</v>
      </c>
      <c r="K55" s="425" t="s">
        <v>568</v>
      </c>
      <c r="L55" t="s">
        <v>422</v>
      </c>
    </row>
    <row r="56" spans="1:12" ht="12.75">
      <c r="A56" s="504">
        <v>1</v>
      </c>
      <c r="B56" s="391" t="s">
        <v>449</v>
      </c>
      <c r="C56" s="391" t="s">
        <v>412</v>
      </c>
      <c r="D56" s="392"/>
      <c r="E56" s="443"/>
      <c r="F56" t="s">
        <v>422</v>
      </c>
      <c r="G56" s="493">
        <v>1</v>
      </c>
      <c r="H56" s="426" t="s">
        <v>427</v>
      </c>
      <c r="I56" s="427" t="s">
        <v>426</v>
      </c>
      <c r="J56" s="428">
        <v>0</v>
      </c>
      <c r="K56" s="428"/>
      <c r="L56" t="s">
        <v>422</v>
      </c>
    </row>
    <row r="57" spans="1:12" ht="13.5">
      <c r="A57" s="504">
        <v>1</v>
      </c>
      <c r="B57" s="391" t="s">
        <v>216</v>
      </c>
      <c r="C57" s="393"/>
      <c r="D57" s="394"/>
      <c r="E57" s="394"/>
      <c r="F57" t="s">
        <v>422</v>
      </c>
      <c r="G57" s="493">
        <v>1</v>
      </c>
      <c r="H57" s="427" t="s">
        <v>72</v>
      </c>
      <c r="I57" s="427" t="s">
        <v>73</v>
      </c>
      <c r="J57" s="482">
        <v>4.95</v>
      </c>
      <c r="K57" s="428"/>
      <c r="L57" t="s">
        <v>422</v>
      </c>
    </row>
    <row r="58" spans="1:12" ht="12.75">
      <c r="A58" s="504">
        <v>1</v>
      </c>
      <c r="B58" s="391" t="s">
        <v>621</v>
      </c>
      <c r="C58" s="393"/>
      <c r="D58" s="394"/>
      <c r="E58" s="394"/>
      <c r="F58" t="s">
        <v>422</v>
      </c>
      <c r="G58" s="493">
        <v>1</v>
      </c>
      <c r="H58" s="427" t="s">
        <v>396</v>
      </c>
      <c r="I58" s="428"/>
      <c r="J58" s="428"/>
      <c r="K58" s="428"/>
      <c r="L58" t="s">
        <v>422</v>
      </c>
    </row>
    <row r="59" spans="1:12" ht="12.75">
      <c r="A59" s="504">
        <v>1</v>
      </c>
      <c r="B59" s="391" t="s">
        <v>625</v>
      </c>
      <c r="C59" s="393"/>
      <c r="D59" s="394"/>
      <c r="E59" s="394"/>
      <c r="F59" t="s">
        <v>422</v>
      </c>
      <c r="G59" s="493">
        <v>1</v>
      </c>
      <c r="H59" s="427" t="s">
        <v>451</v>
      </c>
      <c r="I59" s="427" t="s">
        <v>412</v>
      </c>
      <c r="J59" s="428"/>
      <c r="K59" s="428"/>
      <c r="L59" t="s">
        <v>422</v>
      </c>
    </row>
    <row r="60" spans="1:12" ht="12.75">
      <c r="A60" s="224" t="s">
        <v>422</v>
      </c>
      <c r="F60" t="s">
        <v>422</v>
      </c>
      <c r="G60" s="493">
        <v>1</v>
      </c>
      <c r="H60" s="427" t="s">
        <v>397</v>
      </c>
      <c r="I60" s="427"/>
      <c r="J60" s="428"/>
      <c r="K60" s="428"/>
      <c r="L60" t="s">
        <v>422</v>
      </c>
    </row>
    <row r="61" spans="1:12" ht="13.5" thickBot="1">
      <c r="A61" s="224" t="s">
        <v>422</v>
      </c>
      <c r="F61" t="s">
        <v>422</v>
      </c>
      <c r="G61" s="493">
        <v>1</v>
      </c>
      <c r="H61" s="427" t="s">
        <v>417</v>
      </c>
      <c r="I61" s="427"/>
      <c r="J61" s="428"/>
      <c r="K61" s="428"/>
      <c r="L61" t="s">
        <v>422</v>
      </c>
    </row>
    <row r="62" spans="1:11" ht="13.5">
      <c r="A62" s="503" t="s">
        <v>719</v>
      </c>
      <c r="B62" s="389" t="s">
        <v>441</v>
      </c>
      <c r="C62" s="389" t="s">
        <v>38</v>
      </c>
      <c r="D62" s="390" t="s">
        <v>421</v>
      </c>
      <c r="E62" s="390" t="s">
        <v>568</v>
      </c>
      <c r="G62" s="493">
        <v>1</v>
      </c>
      <c r="H62" s="427" t="s">
        <v>639</v>
      </c>
      <c r="I62" s="427"/>
      <c r="J62" s="483">
        <v>4.95</v>
      </c>
      <c r="K62" s="428"/>
    </row>
    <row r="63" spans="1:11" ht="13.5">
      <c r="A63" s="504">
        <v>1</v>
      </c>
      <c r="B63" s="391" t="s">
        <v>446</v>
      </c>
      <c r="C63" s="391" t="s">
        <v>43</v>
      </c>
      <c r="D63" s="392"/>
      <c r="E63" s="443" t="s">
        <v>617</v>
      </c>
      <c r="G63" s="493">
        <v>1</v>
      </c>
      <c r="H63" s="427" t="s">
        <v>640</v>
      </c>
      <c r="I63" s="427"/>
      <c r="J63" s="483">
        <v>6.95</v>
      </c>
      <c r="K63" s="428"/>
    </row>
    <row r="64" spans="1:11" ht="12.75">
      <c r="A64" s="504">
        <v>1</v>
      </c>
      <c r="B64" s="391" t="s">
        <v>452</v>
      </c>
      <c r="C64" s="391" t="s">
        <v>411</v>
      </c>
      <c r="D64" s="392"/>
      <c r="E64" s="443" t="s">
        <v>617</v>
      </c>
      <c r="F64" t="s">
        <v>422</v>
      </c>
      <c r="G64" s="493">
        <v>1</v>
      </c>
      <c r="H64" s="427" t="s">
        <v>585</v>
      </c>
      <c r="I64" s="427"/>
      <c r="J64" s="428"/>
      <c r="K64" s="428"/>
    </row>
    <row r="65" spans="1:11" ht="12.75">
      <c r="A65" s="504">
        <v>1</v>
      </c>
      <c r="B65" s="391" t="s">
        <v>450</v>
      </c>
      <c r="C65" s="391" t="s">
        <v>412</v>
      </c>
      <c r="D65" s="392"/>
      <c r="E65" s="443" t="s">
        <v>617</v>
      </c>
      <c r="G65" s="493">
        <v>1</v>
      </c>
      <c r="H65" s="427" t="s">
        <v>586</v>
      </c>
      <c r="I65" s="427"/>
      <c r="J65" s="428"/>
      <c r="K65" s="428"/>
    </row>
    <row r="66" spans="1:11" ht="12.75">
      <c r="A66" s="504">
        <v>1</v>
      </c>
      <c r="B66" s="391" t="s">
        <v>621</v>
      </c>
      <c r="C66" s="393"/>
      <c r="D66" s="394"/>
      <c r="E66" s="394"/>
      <c r="G66" s="493">
        <v>1</v>
      </c>
      <c r="H66" s="427" t="s">
        <v>665</v>
      </c>
      <c r="I66" s="427"/>
      <c r="J66" s="428"/>
      <c r="K66" s="428"/>
    </row>
    <row r="67" spans="1:11" ht="13.5">
      <c r="A67" s="504">
        <v>1</v>
      </c>
      <c r="B67" s="391" t="s">
        <v>216</v>
      </c>
      <c r="C67" s="393"/>
      <c r="D67" s="394"/>
      <c r="E67" s="394" t="s">
        <v>617</v>
      </c>
      <c r="G67" s="493">
        <v>1</v>
      </c>
      <c r="H67" s="427" t="s">
        <v>659</v>
      </c>
      <c r="I67" s="427"/>
      <c r="J67" s="483">
        <v>12.95</v>
      </c>
      <c r="K67" s="428"/>
    </row>
    <row r="68" spans="2:11" ht="12.75">
      <c r="B68" s="94"/>
      <c r="C68" s="94"/>
      <c r="D68" s="368"/>
      <c r="E68" s="368"/>
      <c r="G68" s="493">
        <v>1</v>
      </c>
      <c r="H68" s="427" t="s">
        <v>418</v>
      </c>
      <c r="I68" s="427"/>
      <c r="J68" s="428"/>
      <c r="K68" s="428"/>
    </row>
    <row r="69" spans="1:11" ht="13.5" thickBot="1">
      <c r="A69" s="224" t="s">
        <v>422</v>
      </c>
      <c r="G69" s="493">
        <v>1</v>
      </c>
      <c r="H69" s="427" t="s">
        <v>81</v>
      </c>
      <c r="I69" s="427"/>
      <c r="J69" s="428"/>
      <c r="K69" s="428"/>
    </row>
    <row r="70" spans="1:11" ht="12.75">
      <c r="A70" s="503" t="s">
        <v>719</v>
      </c>
      <c r="B70" s="389" t="s">
        <v>626</v>
      </c>
      <c r="C70" s="389" t="s">
        <v>38</v>
      </c>
      <c r="D70" s="390" t="s">
        <v>421</v>
      </c>
      <c r="E70" s="390" t="s">
        <v>568</v>
      </c>
      <c r="G70" s="493">
        <v>1</v>
      </c>
      <c r="H70" s="427" t="s">
        <v>220</v>
      </c>
      <c r="I70" s="427"/>
      <c r="J70" s="428"/>
      <c r="K70" s="428"/>
    </row>
    <row r="71" spans="1:11" ht="12.75">
      <c r="A71" s="502">
        <v>1</v>
      </c>
      <c r="B71" s="385" t="s">
        <v>713</v>
      </c>
      <c r="C71" s="385" t="s">
        <v>40</v>
      </c>
      <c r="D71" s="386"/>
      <c r="E71" s="386"/>
      <c r="H71" s="94"/>
      <c r="I71" s="94"/>
      <c r="J71" s="368"/>
      <c r="K71" s="368"/>
    </row>
    <row r="72" spans="1:7" ht="13.5" thickBot="1">
      <c r="A72" s="502">
        <v>1</v>
      </c>
      <c r="B72" s="385" t="s">
        <v>629</v>
      </c>
      <c r="C72" s="445" t="s">
        <v>630</v>
      </c>
      <c r="D72" s="388"/>
      <c r="E72" s="388"/>
      <c r="G72" s="224" t="s">
        <v>422</v>
      </c>
    </row>
    <row r="73" spans="1:11" ht="12.75">
      <c r="A73" s="502">
        <v>1</v>
      </c>
      <c r="B73" s="385" t="s">
        <v>628</v>
      </c>
      <c r="C73" s="385"/>
      <c r="D73" s="386"/>
      <c r="E73" s="386"/>
      <c r="G73" s="494" t="s">
        <v>719</v>
      </c>
      <c r="H73" s="413" t="s">
        <v>457</v>
      </c>
      <c r="I73" s="413" t="s">
        <v>38</v>
      </c>
      <c r="J73" s="414" t="s">
        <v>421</v>
      </c>
      <c r="K73" s="414" t="s">
        <v>568</v>
      </c>
    </row>
    <row r="74" spans="1:11" ht="12.75">
      <c r="A74" s="502">
        <v>1</v>
      </c>
      <c r="B74" s="385" t="s">
        <v>627</v>
      </c>
      <c r="C74" s="385"/>
      <c r="D74" s="386"/>
      <c r="E74" s="386"/>
      <c r="G74" s="495">
        <v>1</v>
      </c>
      <c r="H74" s="415" t="s">
        <v>428</v>
      </c>
      <c r="I74" s="416" t="s">
        <v>425</v>
      </c>
      <c r="J74" s="417"/>
      <c r="K74" s="417"/>
    </row>
    <row r="75" spans="1:11" ht="12.75">
      <c r="A75" s="502">
        <v>0</v>
      </c>
      <c r="B75" s="385" t="s">
        <v>714</v>
      </c>
      <c r="C75" s="387"/>
      <c r="D75" s="388"/>
      <c r="E75" s="388"/>
      <c r="G75" s="495">
        <v>1</v>
      </c>
      <c r="H75" s="416" t="s">
        <v>458</v>
      </c>
      <c r="I75" s="416" t="s">
        <v>1</v>
      </c>
      <c r="J75" s="417">
        <v>15</v>
      </c>
      <c r="K75" s="417"/>
    </row>
    <row r="76" spans="1:11" ht="12.75">
      <c r="A76" s="504">
        <v>1</v>
      </c>
      <c r="B76" s="391" t="s">
        <v>712</v>
      </c>
      <c r="C76" s="391" t="s">
        <v>43</v>
      </c>
      <c r="D76" s="392"/>
      <c r="E76" s="392"/>
      <c r="G76" s="495">
        <v>1</v>
      </c>
      <c r="H76" s="415" t="s">
        <v>129</v>
      </c>
      <c r="I76" s="416"/>
      <c r="J76" s="417"/>
      <c r="K76" s="417"/>
    </row>
    <row r="77" spans="1:11" ht="12.75">
      <c r="A77" s="504">
        <v>1</v>
      </c>
      <c r="B77" s="391" t="s">
        <v>631</v>
      </c>
      <c r="C77" s="391"/>
      <c r="D77" s="392"/>
      <c r="E77" s="392"/>
      <c r="G77" s="495">
        <v>1</v>
      </c>
      <c r="H77" s="416" t="s">
        <v>217</v>
      </c>
      <c r="I77" s="418"/>
      <c r="J77" s="419"/>
      <c r="K77" s="419"/>
    </row>
    <row r="78" spans="1:11" ht="12.75">
      <c r="A78" s="504">
        <v>1</v>
      </c>
      <c r="B78" s="391" t="s">
        <v>621</v>
      </c>
      <c r="C78" s="391"/>
      <c r="D78" s="392"/>
      <c r="E78" s="392"/>
      <c r="G78" s="495">
        <v>1</v>
      </c>
      <c r="H78" s="415" t="s">
        <v>128</v>
      </c>
      <c r="I78" s="416"/>
      <c r="J78" s="417"/>
      <c r="K78" s="417"/>
    </row>
    <row r="81" spans="2:3" ht="12.75">
      <c r="B81" s="3"/>
      <c r="C81" s="9"/>
    </row>
    <row r="82" spans="2:3" ht="12.75">
      <c r="B82" s="3"/>
      <c r="C82" s="9"/>
    </row>
    <row r="83" spans="2:3" ht="12.75">
      <c r="B83" s="3"/>
      <c r="C83" s="9"/>
    </row>
    <row r="84" spans="2:3" ht="12.75">
      <c r="B84" s="3"/>
      <c r="C84" s="9"/>
    </row>
    <row r="86" ht="12.75">
      <c r="B86" s="3"/>
    </row>
    <row r="88" spans="1:4" ht="12.75">
      <c r="A88" s="496"/>
      <c r="B88" s="3"/>
      <c r="C88" s="10"/>
      <c r="D88" s="3"/>
    </row>
    <row r="89" spans="1:11" s="3" customFormat="1" ht="12.75">
      <c r="A89" s="496"/>
      <c r="C89" s="10"/>
      <c r="G89" s="224"/>
      <c r="H89"/>
      <c r="I89"/>
      <c r="J89"/>
      <c r="K89"/>
    </row>
    <row r="90" spans="1:11" s="3" customFormat="1" ht="12.75">
      <c r="A90" s="496"/>
      <c r="C90" s="9"/>
      <c r="D90"/>
      <c r="G90" s="224"/>
      <c r="H90"/>
      <c r="I90"/>
      <c r="J90"/>
      <c r="K90"/>
    </row>
    <row r="91" spans="1:3" ht="12.75">
      <c r="A91" s="496"/>
      <c r="B91" s="3"/>
      <c r="C91" s="9"/>
    </row>
    <row r="92" spans="1:3" ht="12.75">
      <c r="A92" s="496"/>
      <c r="B92" s="3"/>
      <c r="C92" s="9"/>
    </row>
    <row r="93" spans="1:2" ht="12.75">
      <c r="A93" s="496"/>
      <c r="B93" s="3"/>
    </row>
    <row r="94" spans="1:3" ht="12.75">
      <c r="A94" s="496"/>
      <c r="C94" s="9"/>
    </row>
    <row r="95" spans="1:3" ht="12.75">
      <c r="A95" s="496"/>
      <c r="B95" s="3"/>
      <c r="C95" s="9"/>
    </row>
    <row r="97" spans="7:11" ht="12.75">
      <c r="G97" s="496"/>
      <c r="H97" s="3"/>
      <c r="I97" s="3"/>
      <c r="J97" s="3"/>
      <c r="K97" s="3"/>
    </row>
    <row r="98" spans="7:11" ht="12.75">
      <c r="G98" s="496"/>
      <c r="H98" s="3"/>
      <c r="I98" s="3"/>
      <c r="J98" s="3"/>
      <c r="K98" s="3"/>
    </row>
    <row r="109" ht="12.75">
      <c r="B109" s="9"/>
    </row>
  </sheetData>
  <hyperlinks>
    <hyperlink ref="D22" r:id="rId1" display="http://www.williamsbrewing.com/"/>
    <hyperlink ref="J15" r:id="rId2" display="http://bluestemwine.com/Merchant2/merchant.mvc?Screen=PROD&amp;Product_Code=03-48000&amp;Category_Code=DMVWASHER"/>
    <hyperlink ref="J17" r:id="rId3" display="http://www.breworganic.com/index.asp?PageAction=VIEWPROD&amp;ProdID=507"/>
    <hyperlink ref="J23" r:id="rId4" display="http://search.stores.ebay.com/search/search.dll?query=Home+Brew&amp;srchdesc=y&amp;sid=7729861&amp;store=BeverageFactory+Dot+Com&amp;colorid=0&amp;fp=0&amp;st=1&amp;fsoo=1&amp;fsop=1"/>
    <hyperlink ref="J30" r:id="rId5" display="http://www.williamsbrewing.com/KEG_PRESSURE_TESTER_P715C109.cfm"/>
    <hyperlink ref="J31" r:id="rId6" display="http://www.williamsbrewing.com/KEG_LUBE_P479C78.cfm"/>
    <hyperlink ref="J57" r:id="rId7" display="http://bluestemwine.com/Merchant2/merchant.mvc?Screen=PROD&amp;Product_Code=03-54550&amp;Category_Code=CRHTHERMO"/>
    <hyperlink ref="J62" r:id="rId8" display="http://www.breworganic.com/index.asp?PageAction=VIEWPROD&amp;ProdID=581"/>
    <hyperlink ref="J63" r:id="rId9" display="http://www.breworganic.com/index.asp?PageAction=VIEWPROD&amp;ProdID=582"/>
    <hyperlink ref="J67" r:id="rId10" display="http://www.hoptech.com/cart/cart.php?target=product&amp;product_id=16372&amp;category_id=279"/>
  </hyperlinks>
  <printOptions/>
  <pageMargins left="0.49" right="0.38" top="1" bottom="1" header="0.41" footer="0.5"/>
  <pageSetup fitToHeight="1" fitToWidth="1" horizontalDpi="300" verticalDpi="300" orientation="portrait" scale="63" r:id="rId11"/>
  <headerFooter alignWithMargins="0">
    <oddHeader>&amp;C&amp;"Arial,Bold"&amp;20&amp;A</oddHeader>
    <oddFooter>&amp;L&amp;F&amp;RPrinted: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3"/>
  <sheetViews>
    <sheetView workbookViewId="0" topLeftCell="F1">
      <selection activeCell="H5" sqref="H5"/>
    </sheetView>
  </sheetViews>
  <sheetFormatPr defaultColWidth="9.140625" defaultRowHeight="12.75"/>
  <cols>
    <col min="1" max="1" width="5.8515625" style="0" bestFit="1" customWidth="1"/>
    <col min="2" max="2" width="46.421875" style="0" bestFit="1" customWidth="1"/>
    <col min="3" max="3" width="4.8515625" style="0" bestFit="1" customWidth="1"/>
    <col min="4" max="4" width="34.00390625" style="0" bestFit="1" customWidth="1"/>
    <col min="5" max="5" width="13.57421875" style="0" bestFit="1" customWidth="1"/>
    <col min="6" max="6" width="29.421875" style="0" bestFit="1" customWidth="1"/>
    <col min="7" max="7" width="31.421875" style="0" bestFit="1" customWidth="1"/>
    <col min="8" max="8" width="13.28125" style="0" bestFit="1" customWidth="1"/>
    <col min="9" max="9" width="34.421875" style="0" bestFit="1" customWidth="1"/>
    <col min="10" max="10" width="13.8515625" style="0" bestFit="1" customWidth="1"/>
    <col min="11" max="11" width="20.140625" style="0" bestFit="1" customWidth="1"/>
    <col min="12" max="13" width="15.7109375" style="0" bestFit="1" customWidth="1"/>
  </cols>
  <sheetData>
    <row r="1" spans="1:13" ht="12.75">
      <c r="A1" t="s">
        <v>504</v>
      </c>
      <c r="B1" t="s">
        <v>516</v>
      </c>
      <c r="C1" t="s">
        <v>510</v>
      </c>
      <c r="D1" t="s">
        <v>522</v>
      </c>
      <c r="E1" t="s">
        <v>507</v>
      </c>
      <c r="F1" t="s">
        <v>519</v>
      </c>
      <c r="G1" t="s">
        <v>528</v>
      </c>
      <c r="H1" t="s">
        <v>515</v>
      </c>
      <c r="I1" t="s">
        <v>513</v>
      </c>
      <c r="J1" t="s">
        <v>514</v>
      </c>
      <c r="K1" t="s">
        <v>527</v>
      </c>
      <c r="L1" t="s">
        <v>525</v>
      </c>
      <c r="M1" t="s">
        <v>526</v>
      </c>
    </row>
    <row r="2" spans="1:13" ht="12.75">
      <c r="A2" t="s">
        <v>505</v>
      </c>
      <c r="B2" t="s">
        <v>518</v>
      </c>
      <c r="C2" t="s">
        <v>511</v>
      </c>
      <c r="D2" t="s">
        <v>521</v>
      </c>
      <c r="E2" t="s">
        <v>508</v>
      </c>
      <c r="F2" t="s">
        <v>523</v>
      </c>
      <c r="G2" t="s">
        <v>529</v>
      </c>
      <c r="I2" t="s">
        <v>530</v>
      </c>
      <c r="K2" s="430">
        <v>38630</v>
      </c>
      <c r="L2" s="430">
        <v>38630</v>
      </c>
      <c r="M2" s="430">
        <v>38630</v>
      </c>
    </row>
    <row r="3" spans="1:13" ht="12.75">
      <c r="A3" t="s">
        <v>506</v>
      </c>
      <c r="B3" t="s">
        <v>517</v>
      </c>
      <c r="C3" t="s">
        <v>512</v>
      </c>
      <c r="D3" t="s">
        <v>520</v>
      </c>
      <c r="E3" t="s">
        <v>509</v>
      </c>
      <c r="F3" t="s">
        <v>524</v>
      </c>
      <c r="G3" t="s">
        <v>531</v>
      </c>
      <c r="I3" t="s">
        <v>530</v>
      </c>
      <c r="K3" s="430">
        <v>38630</v>
      </c>
      <c r="L3" s="430">
        <v>38630</v>
      </c>
      <c r="M3" s="430">
        <v>38630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25"/>
  <sheetViews>
    <sheetView workbookViewId="0" topLeftCell="A1">
      <selection activeCell="C8" sqref="C8"/>
    </sheetView>
  </sheetViews>
  <sheetFormatPr defaultColWidth="9.140625" defaultRowHeight="12.75"/>
  <cols>
    <col min="1" max="1" width="6.28125" style="0" bestFit="1" customWidth="1"/>
    <col min="2" max="2" width="7.00390625" style="0" bestFit="1" customWidth="1"/>
    <col min="3" max="3" width="42.8515625" style="0" bestFit="1" customWidth="1"/>
    <col min="4" max="4" width="15.8515625" style="0" bestFit="1" customWidth="1"/>
    <col min="5" max="5" width="11.00390625" style="0" bestFit="1" customWidth="1"/>
    <col min="6" max="6" width="22.140625" style="0" bestFit="1" customWidth="1"/>
    <col min="7" max="7" width="54.8515625" style="0" bestFit="1" customWidth="1"/>
  </cols>
  <sheetData>
    <row r="1" spans="1:6" s="2" customFormat="1" ht="12.75">
      <c r="A1" s="458" t="s">
        <v>595</v>
      </c>
      <c r="B1" s="458" t="s">
        <v>596</v>
      </c>
      <c r="C1" s="459" t="s">
        <v>668</v>
      </c>
      <c r="D1" s="459" t="s">
        <v>583</v>
      </c>
      <c r="E1" s="459" t="s">
        <v>667</v>
      </c>
      <c r="F1" s="459" t="s">
        <v>597</v>
      </c>
    </row>
    <row r="2" spans="1:6" s="453" customFormat="1" ht="12.75">
      <c r="A2" s="460">
        <v>0.1875</v>
      </c>
      <c r="B2" s="460">
        <v>0.4375</v>
      </c>
      <c r="C2" s="461" t="s">
        <v>648</v>
      </c>
      <c r="D2" s="461" t="s">
        <v>679</v>
      </c>
      <c r="E2" s="461" t="s">
        <v>669</v>
      </c>
      <c r="F2" s="462" t="s">
        <v>598</v>
      </c>
    </row>
    <row r="3" spans="1:6" s="453" customFormat="1" ht="12.75">
      <c r="A3" s="460">
        <v>0.1875</v>
      </c>
      <c r="B3" s="460"/>
      <c r="C3" s="461" t="s">
        <v>648</v>
      </c>
      <c r="D3" s="461" t="s">
        <v>679</v>
      </c>
      <c r="E3" s="461" t="s">
        <v>678</v>
      </c>
      <c r="F3" s="462"/>
    </row>
    <row r="4" spans="1:6" s="455" customFormat="1" ht="12.75">
      <c r="A4" s="463">
        <v>0.25</v>
      </c>
      <c r="B4" s="464" t="s">
        <v>593</v>
      </c>
      <c r="C4" s="465" t="s">
        <v>594</v>
      </c>
      <c r="D4" s="465" t="s">
        <v>655</v>
      </c>
      <c r="E4" s="465" t="s">
        <v>670</v>
      </c>
      <c r="F4" s="466"/>
    </row>
    <row r="5" spans="1:6" s="455" customFormat="1" ht="12.75">
      <c r="A5" s="463">
        <v>0.25</v>
      </c>
      <c r="B5" s="464"/>
      <c r="C5" s="465" t="s">
        <v>653</v>
      </c>
      <c r="D5" s="465" t="s">
        <v>655</v>
      </c>
      <c r="E5" s="465" t="s">
        <v>676</v>
      </c>
      <c r="F5" s="466"/>
    </row>
    <row r="6" spans="1:6" s="454" customFormat="1" ht="12.75">
      <c r="A6" s="467">
        <v>0.3125</v>
      </c>
      <c r="B6" s="467">
        <v>0.4375</v>
      </c>
      <c r="C6" s="468" t="s">
        <v>650</v>
      </c>
      <c r="D6" s="468" t="s">
        <v>656</v>
      </c>
      <c r="E6" s="468" t="s">
        <v>671</v>
      </c>
      <c r="F6" s="469" t="s">
        <v>599</v>
      </c>
    </row>
    <row r="7" spans="1:6" s="454" customFormat="1" ht="12.75">
      <c r="A7" s="467">
        <v>0.3125</v>
      </c>
      <c r="B7" s="467"/>
      <c r="C7" s="468" t="s">
        <v>650</v>
      </c>
      <c r="D7" s="468" t="s">
        <v>656</v>
      </c>
      <c r="E7" s="468" t="s">
        <v>677</v>
      </c>
      <c r="F7" s="469" t="s">
        <v>599</v>
      </c>
    </row>
    <row r="8" spans="1:6" s="456" customFormat="1" ht="12.75">
      <c r="A8" s="470">
        <v>0.375</v>
      </c>
      <c r="B8" s="471" t="s">
        <v>593</v>
      </c>
      <c r="C8" s="472" t="s">
        <v>651</v>
      </c>
      <c r="D8" s="472"/>
      <c r="E8" s="472" t="s">
        <v>672</v>
      </c>
      <c r="F8" s="473"/>
    </row>
    <row r="9" spans="1:6" s="220" customFormat="1" ht="12.75">
      <c r="A9" s="474">
        <v>0.5</v>
      </c>
      <c r="B9" s="474"/>
      <c r="C9" s="475" t="s">
        <v>649</v>
      </c>
      <c r="D9" s="475"/>
      <c r="E9" s="475"/>
      <c r="F9" s="475"/>
    </row>
    <row r="10" spans="1:6" ht="12.75">
      <c r="A10" s="476">
        <v>0.625</v>
      </c>
      <c r="B10" s="476"/>
      <c r="C10" s="477" t="s">
        <v>654</v>
      </c>
      <c r="D10" s="477"/>
      <c r="E10" s="477"/>
      <c r="F10" s="478"/>
    </row>
    <row r="11" spans="1:6" ht="12.75">
      <c r="A11" s="476">
        <v>0.75</v>
      </c>
      <c r="B11" s="476"/>
      <c r="C11" s="477"/>
      <c r="D11" s="477"/>
      <c r="E11" s="477"/>
      <c r="F11" s="478"/>
    </row>
    <row r="12" spans="1:6" ht="12.75">
      <c r="A12" s="476"/>
      <c r="B12" s="458"/>
      <c r="C12" s="478"/>
      <c r="D12" s="478"/>
      <c r="E12" s="478"/>
      <c r="F12" s="478"/>
    </row>
    <row r="14" spans="6:7" ht="12.75">
      <c r="F14" s="452" t="s">
        <v>673</v>
      </c>
      <c r="G14" t="s">
        <v>674</v>
      </c>
    </row>
    <row r="15" spans="2:7" ht="12.75">
      <c r="B15" t="s">
        <v>680</v>
      </c>
      <c r="G15" t="s">
        <v>675</v>
      </c>
    </row>
    <row r="16" spans="3:4" ht="12.75">
      <c r="C16" t="s">
        <v>681</v>
      </c>
      <c r="D16" t="s">
        <v>682</v>
      </c>
    </row>
    <row r="17" spans="3:4" ht="12.75">
      <c r="C17" t="s">
        <v>683</v>
      </c>
      <c r="D17" s="457" t="s">
        <v>684</v>
      </c>
    </row>
    <row r="18" spans="3:4" ht="12.75">
      <c r="C18" t="s">
        <v>685</v>
      </c>
      <c r="D18" t="s">
        <v>686</v>
      </c>
    </row>
    <row r="19" spans="3:7" ht="12.75">
      <c r="C19" t="s">
        <v>687</v>
      </c>
      <c r="G19" t="s">
        <v>590</v>
      </c>
    </row>
    <row r="20" spans="3:7" ht="12.75">
      <c r="C20" t="s">
        <v>688</v>
      </c>
      <c r="D20" t="s">
        <v>689</v>
      </c>
      <c r="G20" t="s">
        <v>591</v>
      </c>
    </row>
    <row r="21" spans="3:7" ht="12.75">
      <c r="C21" t="s">
        <v>690</v>
      </c>
      <c r="D21" t="s">
        <v>691</v>
      </c>
      <c r="G21" t="s">
        <v>592</v>
      </c>
    </row>
    <row r="22" spans="3:4" ht="12.75">
      <c r="C22" t="s">
        <v>692</v>
      </c>
      <c r="D22" t="s">
        <v>693</v>
      </c>
    </row>
    <row r="23" ht="12.75">
      <c r="C23" t="s">
        <v>694</v>
      </c>
    </row>
    <row r="24" ht="12.75">
      <c r="C24" t="s">
        <v>695</v>
      </c>
    </row>
    <row r="25" ht="12.75">
      <c r="C25" t="s">
        <v>696</v>
      </c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6"/>
  <sheetViews>
    <sheetView workbookViewId="0" topLeftCell="A1">
      <selection activeCell="P2" sqref="P2"/>
    </sheetView>
  </sheetViews>
  <sheetFormatPr defaultColWidth="9.140625" defaultRowHeight="12.75"/>
  <cols>
    <col min="2" max="2" width="11.00390625" style="0" bestFit="1" customWidth="1"/>
    <col min="3" max="3" width="11.00390625" style="0" customWidth="1"/>
  </cols>
  <sheetData>
    <row r="1" spans="2:14" ht="12.75">
      <c r="B1" t="s">
        <v>186</v>
      </c>
      <c r="D1" t="s">
        <v>191</v>
      </c>
      <c r="F1" t="s">
        <v>192</v>
      </c>
      <c r="H1" t="s">
        <v>187</v>
      </c>
      <c r="J1" t="s">
        <v>189</v>
      </c>
      <c r="L1" t="s">
        <v>189</v>
      </c>
      <c r="N1" t="s">
        <v>189</v>
      </c>
    </row>
    <row r="2" spans="1:16" ht="12.75">
      <c r="A2" t="s">
        <v>190</v>
      </c>
      <c r="B2" t="s">
        <v>42</v>
      </c>
      <c r="C2" t="s">
        <v>188</v>
      </c>
      <c r="D2" t="s">
        <v>42</v>
      </c>
      <c r="E2" t="s">
        <v>188</v>
      </c>
      <c r="F2" t="s">
        <v>42</v>
      </c>
      <c r="G2" t="s">
        <v>188</v>
      </c>
      <c r="H2" t="s">
        <v>42</v>
      </c>
      <c r="I2" t="s">
        <v>188</v>
      </c>
      <c r="J2" t="s">
        <v>42</v>
      </c>
      <c r="K2" t="s">
        <v>188</v>
      </c>
      <c r="L2" t="s">
        <v>42</v>
      </c>
      <c r="M2" t="s">
        <v>188</v>
      </c>
      <c r="N2" t="s">
        <v>42</v>
      </c>
      <c r="O2" t="s">
        <v>188</v>
      </c>
      <c r="P2" t="s">
        <v>193</v>
      </c>
    </row>
    <row r="3" ht="12.75">
      <c r="A3">
        <v>1</v>
      </c>
    </row>
    <row r="4" ht="12.75">
      <c r="A4">
        <v>2</v>
      </c>
    </row>
    <row r="5" ht="12.75">
      <c r="A5">
        <v>3</v>
      </c>
    </row>
    <row r="6" ht="12.75">
      <c r="A6">
        <v>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50"/>
  <sheetViews>
    <sheetView workbookViewId="0" topLeftCell="A8">
      <selection activeCell="D31" sqref="D31"/>
    </sheetView>
  </sheetViews>
  <sheetFormatPr defaultColWidth="9.140625" defaultRowHeight="12.75"/>
  <cols>
    <col min="2" max="2" width="29.28125" style="0" bestFit="1" customWidth="1"/>
    <col min="3" max="3" width="14.28125" style="0" customWidth="1"/>
    <col min="4" max="4" width="14.28125" style="9" customWidth="1"/>
    <col min="5" max="5" width="16.140625" style="0" customWidth="1"/>
    <col min="6" max="6" width="14.28125" style="0" customWidth="1"/>
    <col min="7" max="7" width="7.421875" style="0" bestFit="1" customWidth="1"/>
  </cols>
  <sheetData>
    <row r="1" spans="1:6" ht="12.75">
      <c r="A1" s="2" t="s">
        <v>202</v>
      </c>
      <c r="B1" s="2" t="s">
        <v>212</v>
      </c>
      <c r="C1" s="2" t="s">
        <v>39</v>
      </c>
      <c r="D1" s="8" t="s">
        <v>56</v>
      </c>
      <c r="E1" s="2" t="s">
        <v>62</v>
      </c>
      <c r="F1" s="2" t="s">
        <v>215</v>
      </c>
    </row>
    <row r="2" spans="1:6" s="7" customFormat="1" ht="12.75">
      <c r="A2" s="7">
        <v>0</v>
      </c>
      <c r="B2" s="7" t="s">
        <v>80</v>
      </c>
      <c r="C2" s="3" t="s">
        <v>411</v>
      </c>
      <c r="D2" s="219">
        <v>29.49</v>
      </c>
      <c r="E2" s="7" t="s">
        <v>79</v>
      </c>
      <c r="F2" s="317">
        <v>38504</v>
      </c>
    </row>
    <row r="3" spans="1:6" ht="12.75">
      <c r="A3">
        <v>0</v>
      </c>
      <c r="B3" t="s">
        <v>393</v>
      </c>
      <c r="C3" s="3" t="s">
        <v>411</v>
      </c>
      <c r="D3" s="10"/>
      <c r="F3" s="316">
        <v>38534</v>
      </c>
    </row>
    <row r="4" spans="1:6" ht="12.75">
      <c r="A4">
        <v>0</v>
      </c>
      <c r="B4" t="s">
        <v>394</v>
      </c>
      <c r="C4" s="3" t="s">
        <v>411</v>
      </c>
      <c r="D4" s="10"/>
      <c r="F4" s="316">
        <v>38534</v>
      </c>
    </row>
    <row r="5" spans="1:6" ht="13.5">
      <c r="A5">
        <v>1</v>
      </c>
      <c r="B5" s="3" t="s">
        <v>419</v>
      </c>
      <c r="C5" s="3" t="s">
        <v>411</v>
      </c>
      <c r="D5" s="10">
        <v>42.9</v>
      </c>
      <c r="E5" s="1" t="s">
        <v>420</v>
      </c>
      <c r="F5" s="6"/>
    </row>
    <row r="6" spans="2:6" ht="13.5">
      <c r="B6" s="3"/>
      <c r="C6" s="3"/>
      <c r="D6" s="10"/>
      <c r="E6" s="1"/>
      <c r="F6" s="6"/>
    </row>
    <row r="7" spans="2:6" ht="13.5">
      <c r="B7" s="2" t="s">
        <v>31</v>
      </c>
      <c r="C7" s="3"/>
      <c r="D7" s="10"/>
      <c r="E7" s="1"/>
      <c r="F7" s="6"/>
    </row>
    <row r="8" spans="1:6" ht="13.5">
      <c r="A8">
        <v>1</v>
      </c>
      <c r="B8" s="3" t="s">
        <v>19</v>
      </c>
      <c r="C8" s="2"/>
      <c r="D8" s="8"/>
      <c r="E8" s="1" t="s">
        <v>18</v>
      </c>
      <c r="F8" s="2"/>
    </row>
    <row r="9" spans="1:6" ht="13.5">
      <c r="A9">
        <v>1</v>
      </c>
      <c r="B9" s="3" t="s">
        <v>21</v>
      </c>
      <c r="C9" s="2"/>
      <c r="D9" s="8"/>
      <c r="E9" s="1" t="s">
        <v>20</v>
      </c>
      <c r="F9" s="315">
        <v>38534</v>
      </c>
    </row>
    <row r="10" spans="1:6" ht="13.5">
      <c r="A10">
        <v>1</v>
      </c>
      <c r="B10" s="3" t="s">
        <v>23</v>
      </c>
      <c r="C10" s="2"/>
      <c r="D10" s="8"/>
      <c r="E10" s="1" t="s">
        <v>22</v>
      </c>
      <c r="F10" s="315"/>
    </row>
    <row r="11" spans="1:6" ht="13.5">
      <c r="A11">
        <v>0</v>
      </c>
      <c r="B11" s="7" t="s">
        <v>25</v>
      </c>
      <c r="C11" s="2"/>
      <c r="D11" s="8"/>
      <c r="E11" s="1" t="s">
        <v>24</v>
      </c>
      <c r="F11" s="6">
        <v>38443</v>
      </c>
    </row>
    <row r="12" spans="1:6" ht="13.5">
      <c r="A12">
        <v>3</v>
      </c>
      <c r="B12" s="3" t="s">
        <v>27</v>
      </c>
      <c r="C12" s="2"/>
      <c r="D12" s="8"/>
      <c r="E12" s="1" t="s">
        <v>26</v>
      </c>
      <c r="F12" s="6">
        <v>38492</v>
      </c>
    </row>
    <row r="13" spans="1:6" ht="13.5">
      <c r="A13">
        <v>1</v>
      </c>
      <c r="B13" s="3" t="s">
        <v>35</v>
      </c>
      <c r="C13" s="2"/>
      <c r="D13" s="8"/>
      <c r="E13" s="1" t="s">
        <v>34</v>
      </c>
      <c r="F13" s="6">
        <v>38485</v>
      </c>
    </row>
    <row r="14" spans="1:6" ht="13.5">
      <c r="A14">
        <v>1</v>
      </c>
      <c r="B14" s="3" t="s">
        <v>36</v>
      </c>
      <c r="C14" s="2"/>
      <c r="D14" s="8"/>
      <c r="E14" s="1" t="s">
        <v>37</v>
      </c>
      <c r="F14" s="6">
        <v>38473</v>
      </c>
    </row>
    <row r="15" spans="2:6" ht="13.5">
      <c r="B15" s="3" t="s">
        <v>392</v>
      </c>
      <c r="C15" s="2"/>
      <c r="D15" s="8"/>
      <c r="E15" s="1"/>
      <c r="F15" s="315">
        <v>38534</v>
      </c>
    </row>
    <row r="16" spans="2:6" ht="13.5">
      <c r="B16" s="3"/>
      <c r="C16" s="2"/>
      <c r="D16" s="8"/>
      <c r="E16" s="1"/>
      <c r="F16" s="6"/>
    </row>
    <row r="18" spans="2:6" ht="12.75">
      <c r="B18" s="2" t="s">
        <v>30</v>
      </c>
      <c r="C18" s="2"/>
      <c r="D18" s="8"/>
      <c r="F18" s="2"/>
    </row>
    <row r="19" spans="1:6" ht="12.75">
      <c r="A19">
        <v>4</v>
      </c>
      <c r="B19" s="3" t="s">
        <v>200</v>
      </c>
      <c r="C19" s="3" t="s">
        <v>201</v>
      </c>
      <c r="D19" s="10">
        <v>2.5</v>
      </c>
      <c r="F19" s="2"/>
    </row>
    <row r="20" spans="1:6" ht="13.5">
      <c r="A20">
        <v>2</v>
      </c>
      <c r="B20" s="3" t="s">
        <v>29</v>
      </c>
      <c r="C20" t="s">
        <v>213</v>
      </c>
      <c r="D20" s="9">
        <v>6.95</v>
      </c>
      <c r="E20" s="1" t="s">
        <v>28</v>
      </c>
      <c r="F20" s="316">
        <v>38534</v>
      </c>
    </row>
    <row r="21" spans="1:6" ht="13.5">
      <c r="A21">
        <v>1</v>
      </c>
      <c r="B21" s="3" t="s">
        <v>33</v>
      </c>
      <c r="C21" t="s">
        <v>213</v>
      </c>
      <c r="D21" s="9">
        <v>6.95</v>
      </c>
      <c r="E21" s="1" t="s">
        <v>32</v>
      </c>
      <c r="F21" s="6">
        <v>38492</v>
      </c>
    </row>
    <row r="22" spans="1:4" s="3" customFormat="1" ht="12.75">
      <c r="A22" s="3">
        <v>1</v>
      </c>
      <c r="B22" s="3" t="s">
        <v>214</v>
      </c>
      <c r="C22" s="3" t="s">
        <v>213</v>
      </c>
      <c r="D22" s="10">
        <v>6.95</v>
      </c>
    </row>
    <row r="23" spans="1:5" s="7" customFormat="1" ht="12.75">
      <c r="A23" s="7">
        <v>0</v>
      </c>
      <c r="B23" s="7" t="s">
        <v>45</v>
      </c>
      <c r="D23" s="219">
        <v>12.95</v>
      </c>
      <c r="E23" s="7" t="s">
        <v>61</v>
      </c>
    </row>
    <row r="24" spans="1:5" s="7" customFormat="1" ht="12.75">
      <c r="A24" s="7">
        <v>0</v>
      </c>
      <c r="B24" s="7" t="s">
        <v>45</v>
      </c>
      <c r="D24" s="219">
        <v>12.95</v>
      </c>
      <c r="E24" s="7" t="s">
        <v>61</v>
      </c>
    </row>
    <row r="25" s="3" customFormat="1" ht="12.75">
      <c r="D25" s="10"/>
    </row>
    <row r="26" ht="13.5" customHeight="1">
      <c r="B26" s="2" t="s">
        <v>54</v>
      </c>
    </row>
    <row r="27" spans="1:4" s="7" customFormat="1" ht="12.75">
      <c r="A27" s="7">
        <v>0</v>
      </c>
      <c r="B27" s="7" t="s">
        <v>46</v>
      </c>
      <c r="D27" s="219"/>
    </row>
    <row r="28" spans="1:4" s="7" customFormat="1" ht="12.75">
      <c r="A28" s="7">
        <v>0</v>
      </c>
      <c r="B28" s="7" t="s">
        <v>47</v>
      </c>
      <c r="D28" s="219"/>
    </row>
    <row r="29" spans="1:2" ht="12.75">
      <c r="A29">
        <v>1</v>
      </c>
      <c r="B29" t="s">
        <v>52</v>
      </c>
    </row>
    <row r="30" spans="1:6" ht="12.75">
      <c r="A30">
        <v>1</v>
      </c>
      <c r="B30" t="s">
        <v>500</v>
      </c>
      <c r="C30" t="s">
        <v>501</v>
      </c>
      <c r="D30" s="429">
        <v>8.95</v>
      </c>
      <c r="E30" t="s">
        <v>503</v>
      </c>
      <c r="F30" t="s">
        <v>502</v>
      </c>
    </row>
    <row r="32" ht="12.75">
      <c r="B32" s="2" t="s">
        <v>57</v>
      </c>
    </row>
    <row r="33" spans="1:7" s="7" customFormat="1" ht="12.75">
      <c r="A33" s="7">
        <v>0</v>
      </c>
      <c r="B33" s="7" t="s">
        <v>48</v>
      </c>
      <c r="D33" s="219"/>
      <c r="E33" s="7" t="s">
        <v>60</v>
      </c>
      <c r="G33" s="7" t="s">
        <v>49</v>
      </c>
    </row>
    <row r="34" spans="1:7" s="7" customFormat="1" ht="12.75">
      <c r="A34" s="7">
        <v>0</v>
      </c>
      <c r="B34" s="7" t="s">
        <v>50</v>
      </c>
      <c r="D34" s="219"/>
      <c r="G34" s="7" t="s">
        <v>51</v>
      </c>
    </row>
    <row r="35" spans="1:5" ht="13.5">
      <c r="A35">
        <v>2</v>
      </c>
      <c r="B35" t="s">
        <v>58</v>
      </c>
      <c r="C35" t="s">
        <v>203</v>
      </c>
      <c r="D35" s="9">
        <v>2.5</v>
      </c>
      <c r="E35" s="1" t="s">
        <v>59</v>
      </c>
    </row>
    <row r="36" spans="1:5" ht="13.5">
      <c r="A36">
        <v>1</v>
      </c>
      <c r="B36" t="s">
        <v>204</v>
      </c>
      <c r="C36" t="s">
        <v>203</v>
      </c>
      <c r="D36" s="9">
        <v>1.95</v>
      </c>
      <c r="E36" s="1"/>
    </row>
    <row r="37" spans="1:5" ht="13.5">
      <c r="A37">
        <v>1</v>
      </c>
      <c r="B37" t="s">
        <v>48</v>
      </c>
      <c r="C37" t="s">
        <v>203</v>
      </c>
      <c r="D37" s="9">
        <v>1.95</v>
      </c>
      <c r="E37" s="1"/>
    </row>
    <row r="38" spans="1:5" ht="13.5">
      <c r="A38">
        <v>1</v>
      </c>
      <c r="B38" t="s">
        <v>205</v>
      </c>
      <c r="C38" t="s">
        <v>203</v>
      </c>
      <c r="D38" s="9">
        <v>1.95</v>
      </c>
      <c r="E38" s="1"/>
    </row>
    <row r="39" spans="1:5" ht="13.5">
      <c r="A39">
        <v>1</v>
      </c>
      <c r="B39" t="s">
        <v>206</v>
      </c>
      <c r="C39" t="s">
        <v>203</v>
      </c>
      <c r="D39" s="9">
        <v>1.95</v>
      </c>
      <c r="E39" s="1"/>
    </row>
    <row r="40" spans="1:5" ht="13.5">
      <c r="A40">
        <v>1</v>
      </c>
      <c r="B40" t="s">
        <v>207</v>
      </c>
      <c r="C40" t="s">
        <v>203</v>
      </c>
      <c r="D40" s="9">
        <v>1.95</v>
      </c>
      <c r="E40" s="1"/>
    </row>
    <row r="41" spans="1:5" ht="13.5">
      <c r="A41">
        <v>1</v>
      </c>
      <c r="B41" t="s">
        <v>208</v>
      </c>
      <c r="C41" t="s">
        <v>203</v>
      </c>
      <c r="D41" s="9">
        <v>1.95</v>
      </c>
      <c r="E41" s="1"/>
    </row>
    <row r="42" spans="1:5" ht="13.5">
      <c r="A42">
        <v>1</v>
      </c>
      <c r="B42" t="s">
        <v>209</v>
      </c>
      <c r="C42" t="s">
        <v>203</v>
      </c>
      <c r="D42" s="9">
        <v>1.95</v>
      </c>
      <c r="E42" s="1"/>
    </row>
    <row r="44" ht="12.75">
      <c r="B44" s="2" t="s">
        <v>7</v>
      </c>
    </row>
    <row r="45" spans="1:5" ht="13.5">
      <c r="A45">
        <v>0</v>
      </c>
      <c r="B45" s="7" t="s">
        <v>53</v>
      </c>
      <c r="E45" s="1" t="s">
        <v>55</v>
      </c>
    </row>
    <row r="46" spans="1:4" ht="12.75">
      <c r="A46">
        <v>1</v>
      </c>
      <c r="B46" t="s">
        <v>210</v>
      </c>
      <c r="D46" s="9">
        <v>1.25</v>
      </c>
    </row>
    <row r="47" spans="1:5" ht="12.75">
      <c r="A47">
        <v>1</v>
      </c>
      <c r="B47" t="s">
        <v>211</v>
      </c>
      <c r="D47" s="9">
        <v>5.99</v>
      </c>
      <c r="E47" s="316">
        <v>38534</v>
      </c>
    </row>
    <row r="49" ht="12.75">
      <c r="B49" s="2" t="s">
        <v>198</v>
      </c>
    </row>
    <row r="50" spans="2:4" ht="12.75">
      <c r="B50" t="s">
        <v>199</v>
      </c>
      <c r="C50" t="s">
        <v>213</v>
      </c>
      <c r="D50" s="9">
        <v>3.95</v>
      </c>
    </row>
  </sheetData>
  <hyperlinks>
    <hyperlink ref="E8" r:id="rId1" display="http://store.mrbeer.com/bewredale3.html"/>
    <hyperlink ref="E9" r:id="rId2" display="http://store.mrbeer.com/ennutbrowale5.html"/>
    <hyperlink ref="E10" r:id="rId3" display="http://store.mrbeer.com/okvienlag3.html"/>
    <hyperlink ref="E11" r:id="rId4" display="http://store.mrbeer.com/wescoaspalal4.html"/>
    <hyperlink ref="E12" r:id="rId5" display="http://store.mrbeer.com/whiswheatwie1.html"/>
    <hyperlink ref="E13" r:id="rId6" display="http://store.mrbeer.com/stwioast.html"/>
    <hyperlink ref="E14" r:id="rId7" display="http://store.mrbeer.com/hardciderpage.html"/>
    <hyperlink ref="E20" r:id="rId8" display="http://store.mrbeer.com/creamybrown2.html"/>
    <hyperlink ref="E21" r:id="rId9" display="http://store.mrbeer.com/goldenwheat.html"/>
    <hyperlink ref="E45" r:id="rId10" display="http://bluestemwine.com/Merchant2/merchant.mvc?Screen=CTGY&amp;Category_Code=DAKDRYBYT"/>
    <hyperlink ref="E35" r:id="rId11" display="http://bluestemwine.com/Merchant2/merchant.mvc?Screen=PROD&amp;Product_Code=07-20802&amp;Category_Code=DCKPELLET"/>
    <hyperlink ref="E5" r:id="rId12" display="www.williamsbrewing.com"/>
  </hyperlinks>
  <printOptions/>
  <pageMargins left="0.75" right="0.75" top="1" bottom="1" header="0.5" footer="0.5"/>
  <pageSetup horizontalDpi="300" verticalDpi="300" orientation="portrait" r:id="rId1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38"/>
  <sheetViews>
    <sheetView workbookViewId="0" topLeftCell="A1">
      <selection activeCell="N12" sqref="N12"/>
    </sheetView>
  </sheetViews>
  <sheetFormatPr defaultColWidth="9.140625" defaultRowHeight="12.75"/>
  <cols>
    <col min="1" max="1" width="3.28125" style="0" bestFit="1" customWidth="1"/>
    <col min="2" max="2" width="17.8515625" style="0" bestFit="1" customWidth="1"/>
    <col min="3" max="11" width="11.140625" style="0" customWidth="1"/>
    <col min="12" max="12" width="9.57421875" style="0" bestFit="1" customWidth="1"/>
  </cols>
  <sheetData>
    <row r="1" spans="2:10" ht="13.5" thickBot="1">
      <c r="B1" s="132" t="s">
        <v>145</v>
      </c>
      <c r="C1" s="135" t="s">
        <v>150</v>
      </c>
      <c r="D1" s="136" t="s">
        <v>151</v>
      </c>
      <c r="E1" s="137" t="s">
        <v>153</v>
      </c>
      <c r="I1" s="130" t="s">
        <v>158</v>
      </c>
      <c r="J1" s="88" t="s">
        <v>94</v>
      </c>
    </row>
    <row r="2" spans="1:10" ht="12.75">
      <c r="A2" s="133"/>
      <c r="B2" s="134" t="s">
        <v>16</v>
      </c>
      <c r="C2" s="138"/>
      <c r="D2" s="38" t="s">
        <v>152</v>
      </c>
      <c r="E2" s="139" t="s">
        <v>154</v>
      </c>
      <c r="I2" s="121" t="s">
        <v>157</v>
      </c>
      <c r="J2" s="125">
        <v>8</v>
      </c>
    </row>
    <row r="3" spans="1:10" ht="12.75">
      <c r="A3" s="133"/>
      <c r="B3" s="56" t="s">
        <v>148</v>
      </c>
      <c r="C3" s="95"/>
      <c r="D3" s="33"/>
      <c r="E3" s="140" t="s">
        <v>155</v>
      </c>
      <c r="I3" s="122" t="s">
        <v>91</v>
      </c>
      <c r="J3" s="126">
        <v>236.588237</v>
      </c>
    </row>
    <row r="4" spans="1:10" ht="13.5" thickBot="1">
      <c r="A4" s="133"/>
      <c r="B4" s="129" t="s">
        <v>149</v>
      </c>
      <c r="C4" s="71"/>
      <c r="D4" s="36"/>
      <c r="E4" s="141" t="s">
        <v>156</v>
      </c>
      <c r="I4" s="122" t="s">
        <v>104</v>
      </c>
      <c r="J4" s="126">
        <v>4</v>
      </c>
    </row>
    <row r="5" spans="1:10" ht="13.5" thickBot="1">
      <c r="A5" s="133"/>
      <c r="I5" s="122" t="s">
        <v>93</v>
      </c>
      <c r="J5" s="126">
        <v>4</v>
      </c>
    </row>
    <row r="6" spans="1:10" ht="13.5" thickBot="1">
      <c r="A6" s="133"/>
      <c r="B6" s="132" t="s">
        <v>146</v>
      </c>
      <c r="C6" s="135" t="s">
        <v>141</v>
      </c>
      <c r="D6" s="136" t="s">
        <v>138</v>
      </c>
      <c r="E6" s="136" t="s">
        <v>139</v>
      </c>
      <c r="F6" s="136" t="s">
        <v>140</v>
      </c>
      <c r="G6" s="137" t="s">
        <v>98</v>
      </c>
      <c r="I6" s="122" t="s">
        <v>116</v>
      </c>
      <c r="J6" s="126">
        <v>2</v>
      </c>
    </row>
    <row r="7" spans="1:10" ht="12.75">
      <c r="A7" s="133"/>
      <c r="B7" s="134" t="s">
        <v>137</v>
      </c>
      <c r="C7" s="138">
        <v>1</v>
      </c>
      <c r="D7" s="38">
        <v>1.21</v>
      </c>
      <c r="E7" s="38">
        <v>550</v>
      </c>
      <c r="F7" s="38">
        <v>12</v>
      </c>
      <c r="G7" s="142"/>
      <c r="I7" s="122" t="s">
        <v>117</v>
      </c>
      <c r="J7" s="126">
        <v>3</v>
      </c>
    </row>
    <row r="8" spans="1:10" ht="12.75">
      <c r="A8" s="133"/>
      <c r="B8" s="56" t="s">
        <v>143</v>
      </c>
      <c r="C8" s="95"/>
      <c r="D8" s="33"/>
      <c r="E8" s="33"/>
      <c r="F8" s="33"/>
      <c r="G8" s="143">
        <v>1.5</v>
      </c>
      <c r="I8" s="123" t="s">
        <v>118</v>
      </c>
      <c r="J8" s="127">
        <v>16</v>
      </c>
    </row>
    <row r="9" spans="1:10" ht="12.75">
      <c r="A9" s="133"/>
      <c r="B9" s="56" t="s">
        <v>142</v>
      </c>
      <c r="C9" s="116">
        <v>1</v>
      </c>
      <c r="D9" s="33"/>
      <c r="E9" s="33">
        <v>35.5</v>
      </c>
      <c r="F9" s="33">
        <v>12.5</v>
      </c>
      <c r="G9" s="143">
        <v>2</v>
      </c>
      <c r="I9" s="122" t="s">
        <v>92</v>
      </c>
      <c r="J9" s="126">
        <v>3.7854118</v>
      </c>
    </row>
    <row r="10" spans="1:10" ht="13.5" thickBot="1">
      <c r="A10" s="133"/>
      <c r="B10" s="129" t="s">
        <v>147</v>
      </c>
      <c r="C10" s="71"/>
      <c r="D10" s="36"/>
      <c r="E10" s="36"/>
      <c r="F10" s="36"/>
      <c r="G10" s="37"/>
      <c r="I10" s="124" t="s">
        <v>101</v>
      </c>
      <c r="J10" s="128">
        <v>1000</v>
      </c>
    </row>
    <row r="11" spans="2:3" ht="13.5" thickBot="1">
      <c r="B11" s="131"/>
      <c r="C11" s="131"/>
    </row>
    <row r="12" spans="3:11" s="2" customFormat="1" ht="13.5" thickBot="1">
      <c r="C12" s="511" t="s">
        <v>95</v>
      </c>
      <c r="D12" s="512"/>
      <c r="E12" s="512"/>
      <c r="F12" s="512"/>
      <c r="G12" s="512"/>
      <c r="H12" s="512"/>
      <c r="I12" s="512"/>
      <c r="J12" s="512"/>
      <c r="K12" s="513"/>
    </row>
    <row r="13" spans="2:11" ht="13.5" thickBot="1">
      <c r="B13" s="111" t="s">
        <v>97</v>
      </c>
      <c r="C13" s="46" t="s">
        <v>102</v>
      </c>
      <c r="D13" s="47" t="s">
        <v>100</v>
      </c>
      <c r="E13" s="47" t="s">
        <v>103</v>
      </c>
      <c r="F13" s="47" t="s">
        <v>115</v>
      </c>
      <c r="G13" s="47" t="s">
        <v>98</v>
      </c>
      <c r="H13" s="47" t="s">
        <v>107</v>
      </c>
      <c r="I13" s="86" t="s">
        <v>113</v>
      </c>
      <c r="J13" s="86" t="s">
        <v>114</v>
      </c>
      <c r="K13" s="48" t="s">
        <v>99</v>
      </c>
    </row>
    <row r="14" spans="1:11" ht="13.5" customHeight="1">
      <c r="A14" s="508" t="s">
        <v>96</v>
      </c>
      <c r="B14" s="43" t="s">
        <v>102</v>
      </c>
      <c r="C14" s="97">
        <v>1</v>
      </c>
      <c r="D14" s="98">
        <f>1/C15</f>
        <v>0.26417205124155846</v>
      </c>
      <c r="E14" s="98">
        <f>1/C16</f>
        <v>0.25</v>
      </c>
      <c r="F14" s="98">
        <f>1/C17</f>
        <v>0.125</v>
      </c>
      <c r="G14" s="98">
        <f>1/C18</f>
        <v>0.0625</v>
      </c>
      <c r="H14" s="98">
        <f>1/C19</f>
        <v>0.0078125</v>
      </c>
      <c r="I14" s="99">
        <f>1/C20</f>
        <v>0.00390625</v>
      </c>
      <c r="J14" s="99">
        <f>1/C21</f>
        <v>0.0013020833333333333</v>
      </c>
      <c r="K14" s="100">
        <f>1/C22</f>
        <v>0.00026417205124155843</v>
      </c>
    </row>
    <row r="15" spans="1:11" ht="12.75">
      <c r="A15" s="509"/>
      <c r="B15" s="44" t="s">
        <v>100</v>
      </c>
      <c r="C15" s="101">
        <f>GalToL</f>
        <v>3.7854118</v>
      </c>
      <c r="D15" s="91">
        <v>1</v>
      </c>
      <c r="E15" s="49">
        <f>1/D16</f>
        <v>0.94635295</v>
      </c>
      <c r="F15" s="49">
        <f>1/D17</f>
        <v>0.473176475</v>
      </c>
      <c r="G15" s="49">
        <f>1/D18</f>
        <v>0.236588237</v>
      </c>
      <c r="H15" s="49">
        <f>1/D19</f>
        <v>0.029573529625</v>
      </c>
      <c r="I15" s="87">
        <f>1/D20</f>
        <v>0.0147867648125</v>
      </c>
      <c r="J15" s="87">
        <f>1/D21</f>
        <v>0.0049289216041666665</v>
      </c>
      <c r="K15" s="102">
        <f>1/D22</f>
        <v>0.001</v>
      </c>
    </row>
    <row r="16" spans="1:11" ht="12.75">
      <c r="A16" s="509"/>
      <c r="B16" s="44" t="s">
        <v>103</v>
      </c>
      <c r="C16" s="103">
        <f>GalToQt</f>
        <v>4</v>
      </c>
      <c r="D16" s="312">
        <f>GalToQt/GalToL</f>
        <v>1.0566882049662338</v>
      </c>
      <c r="E16" s="91">
        <v>1</v>
      </c>
      <c r="F16" s="90">
        <f>1/E17</f>
        <v>0.5</v>
      </c>
      <c r="G16" s="49">
        <f>1/E18</f>
        <v>0.25</v>
      </c>
      <c r="H16" s="49">
        <f>1/E19</f>
        <v>0.03125</v>
      </c>
      <c r="I16" s="87">
        <f>1/E20</f>
        <v>0.015625</v>
      </c>
      <c r="J16" s="87">
        <f>1/E21</f>
        <v>0.005208333333333333</v>
      </c>
      <c r="K16" s="102">
        <f>1/E22</f>
        <v>0.0010566882071994137</v>
      </c>
    </row>
    <row r="17" spans="1:11" ht="12.75">
      <c r="A17" s="509"/>
      <c r="B17" s="44" t="s">
        <v>115</v>
      </c>
      <c r="C17" s="103">
        <f>QtToPint*GalToQt</f>
        <v>8</v>
      </c>
      <c r="D17" s="312">
        <f>QtToPint*GalToQt/GalToL</f>
        <v>2.1133764099324677</v>
      </c>
      <c r="E17" s="42">
        <f>QtToPint</f>
        <v>2</v>
      </c>
      <c r="F17" s="91">
        <v>1</v>
      </c>
      <c r="G17" s="49">
        <f>1/F18</f>
        <v>0.5</v>
      </c>
      <c r="H17" s="49">
        <f>1/F19</f>
        <v>0.0625</v>
      </c>
      <c r="I17" s="87">
        <f>1/F20</f>
        <v>0.03125</v>
      </c>
      <c r="J17" s="87">
        <f>1/F21</f>
        <v>0.010416666666666666</v>
      </c>
      <c r="K17" s="102">
        <f>1/F22</f>
        <v>0.0021133764143988275</v>
      </c>
    </row>
    <row r="18" spans="1:17" ht="12.75">
      <c r="A18" s="509"/>
      <c r="B18" s="44" t="s">
        <v>98</v>
      </c>
      <c r="C18" s="103">
        <f>GalToQt*QtToCup</f>
        <v>16</v>
      </c>
      <c r="D18" s="312">
        <f>LTomL/CupTomL</f>
        <v>4.226752828797655</v>
      </c>
      <c r="E18" s="42">
        <f>QtToCup</f>
        <v>4</v>
      </c>
      <c r="F18" s="42">
        <f>1/QtToPint*QtToCup</f>
        <v>2</v>
      </c>
      <c r="G18" s="91">
        <v>1</v>
      </c>
      <c r="H18" s="49">
        <f>1/G19</f>
        <v>0.125</v>
      </c>
      <c r="I18" s="87">
        <f>1/G20</f>
        <v>0.0625</v>
      </c>
      <c r="J18" s="87">
        <f>1/G21</f>
        <v>0.020833333333333332</v>
      </c>
      <c r="K18" s="102">
        <f>1/G22</f>
        <v>0.004226752828797655</v>
      </c>
      <c r="P18" s="32"/>
      <c r="Q18" s="32"/>
    </row>
    <row r="19" spans="1:17" ht="12.75">
      <c r="A19" s="509"/>
      <c r="B19" s="44" t="s">
        <v>107</v>
      </c>
      <c r="C19" s="103">
        <f>GalToQt*QtToCup*CupToFLOZ</f>
        <v>128</v>
      </c>
      <c r="D19" s="312">
        <f>CupToFLOZ*LTomL/CupTomL</f>
        <v>33.81402263038124</v>
      </c>
      <c r="E19" s="42">
        <f>QtToCup*CupToFLOZ</f>
        <v>32</v>
      </c>
      <c r="F19" s="42">
        <f>1/QtToPint*QtToCup*CupToFLOZ</f>
        <v>16</v>
      </c>
      <c r="G19" s="42">
        <f>CupToFLOZ</f>
        <v>8</v>
      </c>
      <c r="H19" s="91">
        <v>1</v>
      </c>
      <c r="I19" s="89">
        <f>1/H20</f>
        <v>0.5</v>
      </c>
      <c r="J19" s="92">
        <f>1/H21</f>
        <v>0.16666666666666666</v>
      </c>
      <c r="K19" s="102">
        <f>1/H22</f>
        <v>0.03381402263038124</v>
      </c>
      <c r="P19" s="32"/>
      <c r="Q19" s="32"/>
    </row>
    <row r="20" spans="1:17" ht="12.75">
      <c r="A20" s="509"/>
      <c r="B20" s="84" t="s">
        <v>113</v>
      </c>
      <c r="C20" s="103">
        <f>GalToQt*QtToCup*CupToTbl</f>
        <v>256</v>
      </c>
      <c r="D20" s="312">
        <f>LTomL/CupTomL*CupToTbl</f>
        <v>67.62804526076248</v>
      </c>
      <c r="E20" s="42">
        <f>QtToCup*CupToTbl</f>
        <v>64</v>
      </c>
      <c r="F20" s="42">
        <f>1/QtToPint*QtToCup*CupToTbl</f>
        <v>32</v>
      </c>
      <c r="G20" s="85">
        <f>CupToTbl</f>
        <v>16</v>
      </c>
      <c r="H20" s="85">
        <f>1/CupToFLOZ*CupToTbl</f>
        <v>2</v>
      </c>
      <c r="I20" s="91">
        <v>1</v>
      </c>
      <c r="J20" s="93">
        <f>1/I21</f>
        <v>0.3333333333333333</v>
      </c>
      <c r="K20" s="104">
        <f>1/I22</f>
        <v>0.06762804526076248</v>
      </c>
      <c r="P20" s="32"/>
      <c r="Q20" s="32"/>
    </row>
    <row r="21" spans="1:17" ht="12.75">
      <c r="A21" s="509"/>
      <c r="B21" s="84" t="s">
        <v>114</v>
      </c>
      <c r="C21" s="103">
        <f>GalToQt*QtToCup*CupToTbl*TblToTsp</f>
        <v>768</v>
      </c>
      <c r="D21" s="312">
        <f>LTomL/CupTomL*CupToTbl*TblToTsp</f>
        <v>202.88413578228744</v>
      </c>
      <c r="E21" s="42">
        <f>QtToCup*CupToTbl*TblToTsp</f>
        <v>192</v>
      </c>
      <c r="F21" s="42">
        <f>1/QtToPint*QtToCup*CupToTbl*TblToTsp</f>
        <v>96</v>
      </c>
      <c r="G21" s="85">
        <f>CupToTbl*TblToTsp</f>
        <v>48</v>
      </c>
      <c r="H21" s="85">
        <f>1/CupToFLOZ*CupToTbl*TblToTsp</f>
        <v>6</v>
      </c>
      <c r="I21" s="42">
        <f>TblToTsp</f>
        <v>3</v>
      </c>
      <c r="J21" s="91">
        <v>1</v>
      </c>
      <c r="K21" s="104">
        <f>1/J22</f>
        <v>0.20288413578228748</v>
      </c>
      <c r="P21" s="32"/>
      <c r="Q21" s="32"/>
    </row>
    <row r="22" spans="1:17" ht="13.5" thickBot="1">
      <c r="A22" s="510"/>
      <c r="B22" s="45" t="s">
        <v>99</v>
      </c>
      <c r="C22" s="105">
        <f>GalToL*LTomL</f>
        <v>3785.4118</v>
      </c>
      <c r="D22" s="106">
        <f>LTomL</f>
        <v>1000</v>
      </c>
      <c r="E22" s="107">
        <f>QtToCup*CupTomL</f>
        <v>946.352948</v>
      </c>
      <c r="F22" s="107">
        <f>1/QtToPint*QtToCup*CupTomL</f>
        <v>473.176474</v>
      </c>
      <c r="G22" s="107">
        <f>CupTomL</f>
        <v>236.588237</v>
      </c>
      <c r="H22" s="107">
        <f>CupTomL/CupToFLOZ</f>
        <v>29.573529625</v>
      </c>
      <c r="I22" s="108">
        <f>1/CupToTbl*CupTomL</f>
        <v>14.7867648125</v>
      </c>
      <c r="J22" s="108">
        <f>1/TblToTsp*1/CupToTbl*CupTomL</f>
        <v>4.928921604166666</v>
      </c>
      <c r="K22" s="109">
        <v>1</v>
      </c>
      <c r="P22" s="32"/>
      <c r="Q22" s="32"/>
    </row>
    <row r="23" spans="13:17" s="2" customFormat="1" ht="12.75">
      <c r="M23" s="32"/>
      <c r="N23" s="32"/>
      <c r="O23" s="32"/>
      <c r="P23" s="32"/>
      <c r="Q23" s="32"/>
    </row>
    <row r="24" spans="3:12" ht="13.5" thickBot="1">
      <c r="C24" s="514" t="s">
        <v>84</v>
      </c>
      <c r="D24" s="515"/>
      <c r="E24" s="515"/>
      <c r="F24" s="515"/>
      <c r="G24" s="515"/>
      <c r="H24" s="515"/>
      <c r="I24" s="515"/>
      <c r="J24" s="515"/>
      <c r="K24" s="515"/>
      <c r="L24" s="515"/>
    </row>
    <row r="25" spans="2:13" ht="13.5" thickBot="1">
      <c r="B25" s="96"/>
      <c r="C25" s="40">
        <v>12</v>
      </c>
      <c r="D25" s="60">
        <v>16</v>
      </c>
      <c r="E25" s="53">
        <v>20</v>
      </c>
      <c r="F25" s="41">
        <v>22</v>
      </c>
      <c r="G25" s="41">
        <v>750</v>
      </c>
      <c r="H25" s="41">
        <v>1</v>
      </c>
      <c r="I25" s="53">
        <v>2</v>
      </c>
      <c r="J25" s="53">
        <v>3</v>
      </c>
      <c r="K25" s="75">
        <v>1</v>
      </c>
      <c r="L25" s="75">
        <v>5</v>
      </c>
      <c r="M25" s="82"/>
    </row>
    <row r="26" spans="2:13" ht="13.5" thickBot="1">
      <c r="B26" s="111" t="s">
        <v>105</v>
      </c>
      <c r="C26" s="58" t="s">
        <v>106</v>
      </c>
      <c r="D26" s="61" t="s">
        <v>106</v>
      </c>
      <c r="E26" s="54" t="s">
        <v>106</v>
      </c>
      <c r="F26" s="59" t="s">
        <v>106</v>
      </c>
      <c r="G26" s="59" t="s">
        <v>99</v>
      </c>
      <c r="H26" s="59" t="s">
        <v>127</v>
      </c>
      <c r="I26" s="54" t="s">
        <v>127</v>
      </c>
      <c r="J26" s="54" t="s">
        <v>127</v>
      </c>
      <c r="K26" s="76" t="s">
        <v>102</v>
      </c>
      <c r="L26" s="76" t="s">
        <v>102</v>
      </c>
      <c r="M26" s="68" t="s">
        <v>112</v>
      </c>
    </row>
    <row r="27" spans="1:13" ht="12.75">
      <c r="A27" s="505" t="s">
        <v>389</v>
      </c>
      <c r="B27" s="55">
        <v>1</v>
      </c>
      <c r="C27" s="52">
        <f>(Gal ToFloz)*$B27/C$25</f>
        <v>10.666666666666666</v>
      </c>
      <c r="D27" s="38">
        <f>(Gal ToFloz)*$B27/D$25</f>
        <v>8</v>
      </c>
      <c r="E27" s="38">
        <f>(Gal ToFloz)*$B27/E$25</f>
        <v>6.4</v>
      </c>
      <c r="F27" s="51">
        <f>(Gal ToFloz)*$B27/F$25</f>
        <v>5.818181818181818</v>
      </c>
      <c r="G27" s="114">
        <f>(Gal TomL)*$B27/G$25</f>
        <v>5.047215733333333</v>
      </c>
      <c r="H27" s="112">
        <f>(Gal ToQt)*$B27/H$25</f>
        <v>4</v>
      </c>
      <c r="I27" s="112">
        <f>(Gal ToQt)*$B27/I$25</f>
        <v>2</v>
      </c>
      <c r="J27" s="112">
        <f>(Gal ToQt)*$B27/J$25</f>
        <v>1.3333333333333333</v>
      </c>
      <c r="K27" s="77">
        <f>(Gal ToGal)*$B27/K$25</f>
        <v>1</v>
      </c>
      <c r="L27" s="77">
        <f>(Gal ToGal)*$B27/L$25</f>
        <v>0.2</v>
      </c>
      <c r="M27" s="81"/>
    </row>
    <row r="28" spans="1:13" ht="12.75">
      <c r="A28" s="506"/>
      <c r="B28" s="56">
        <v>2</v>
      </c>
      <c r="C28" s="62">
        <f>(Gal ToFloz)*$B28/C$25</f>
        <v>21.333333333333332</v>
      </c>
      <c r="D28" s="117">
        <f>(Gal ToFloz)*$B28/D$25</f>
        <v>16</v>
      </c>
      <c r="E28" s="50">
        <f>(Gal ToFloz)*$B28/E$25</f>
        <v>12.8</v>
      </c>
      <c r="F28" s="196">
        <f>(Gal ToFloz)*$B28/F$25</f>
        <v>11.636363636363637</v>
      </c>
      <c r="G28" s="114">
        <f>(Gal TomL)*$B28/G$25</f>
        <v>10.094431466666666</v>
      </c>
      <c r="H28" s="113">
        <f>(Gal ToQt)*$B28/H$25</f>
        <v>8</v>
      </c>
      <c r="I28" s="114">
        <f>(Gal ToQt)*$B28/I$25</f>
        <v>4</v>
      </c>
      <c r="J28" s="114">
        <f>(Gal ToQt)*$B28/J$25</f>
        <v>2.6666666666666665</v>
      </c>
      <c r="K28" s="78">
        <f>(Gal ToGal)*$B28/K$25</f>
        <v>2</v>
      </c>
      <c r="L28" s="78">
        <f>(Gal ToGal)*$B28/L$25</f>
        <v>0.4</v>
      </c>
      <c r="M28" s="83" t="s">
        <v>110</v>
      </c>
    </row>
    <row r="29" spans="1:13" ht="12.75">
      <c r="A29" s="506"/>
      <c r="B29" s="57">
        <v>3</v>
      </c>
      <c r="C29" s="39">
        <f>(Gal ToFloz)*$B29/C$25</f>
        <v>32</v>
      </c>
      <c r="D29" s="33">
        <f>(Gal ToFloz)*$B29/D$25</f>
        <v>24</v>
      </c>
      <c r="E29" s="33">
        <f>(Gal ToFloz)*$B29/E$25</f>
        <v>19.2</v>
      </c>
      <c r="F29" s="34">
        <f>(Gal ToFloz)*$B29/F$25</f>
        <v>17.454545454545453</v>
      </c>
      <c r="G29" s="114">
        <f>(Gal TomL)*$B29/G$25</f>
        <v>15.1416472</v>
      </c>
      <c r="H29" s="114">
        <f>(Gal ToQt)*$B29/H$25</f>
        <v>12</v>
      </c>
      <c r="I29" s="114">
        <f>(Gal ToQt)*$B29/I$25</f>
        <v>6</v>
      </c>
      <c r="J29" s="114">
        <f>(Gal ToQt)*$B29/J$25</f>
        <v>4</v>
      </c>
      <c r="K29" s="78">
        <f>(Gal ToGal)*$B29/K$25</f>
        <v>3</v>
      </c>
      <c r="L29" s="78">
        <f>(Gal ToGal)*$B29/L$25</f>
        <v>0.6</v>
      </c>
      <c r="M29" s="83"/>
    </row>
    <row r="30" spans="1:13" ht="12.75">
      <c r="A30" s="506"/>
      <c r="B30" s="56">
        <v>5</v>
      </c>
      <c r="C30" s="62">
        <f>(Gal ToFloz)*$B30/C$25</f>
        <v>53.333333333333336</v>
      </c>
      <c r="D30" s="117">
        <f>(Gal ToFloz)*$B30/D$25</f>
        <v>40</v>
      </c>
      <c r="E30" s="50">
        <f>(Gal ToFloz)*$B30/E$25</f>
        <v>32</v>
      </c>
      <c r="F30" s="196">
        <f>(Gal ToFloz)*$B30/F$25</f>
        <v>29.09090909090909</v>
      </c>
      <c r="G30" s="114">
        <f>(Gal TomL)*$B30/G$25</f>
        <v>25.236078666666668</v>
      </c>
      <c r="H30" s="113">
        <f>(Gal ToQt)*$B30/H$25</f>
        <v>20</v>
      </c>
      <c r="I30" s="114">
        <f>(Gal ToQt)*$B30/I$25</f>
        <v>10</v>
      </c>
      <c r="J30" s="114">
        <f>(Gal ToQt)*$B30/J$25</f>
        <v>6.666666666666667</v>
      </c>
      <c r="K30" s="78">
        <f>(Gal ToGal)*$B30/K$25</f>
        <v>5</v>
      </c>
      <c r="L30" s="78">
        <f>(Gal ToGal)*$B30/L$25</f>
        <v>1</v>
      </c>
      <c r="M30" s="83" t="s">
        <v>144</v>
      </c>
    </row>
    <row r="31" spans="1:13" ht="12.75">
      <c r="A31" s="506"/>
      <c r="B31" s="57">
        <v>10</v>
      </c>
      <c r="C31" s="39">
        <f>(Gal ToFloz)*$B31/C$25</f>
        <v>106.66666666666667</v>
      </c>
      <c r="D31" s="33">
        <f>(Gal ToFloz)*$B31/D$25</f>
        <v>80</v>
      </c>
      <c r="E31" s="33">
        <f>(Gal ToFloz)*$B31/E$25</f>
        <v>64</v>
      </c>
      <c r="F31" s="34">
        <f>(Gal ToFloz)*$B31/F$25</f>
        <v>58.18181818181818</v>
      </c>
      <c r="G31" s="114">
        <f>(Gal TomL)*$B31/G$25</f>
        <v>50.472157333333335</v>
      </c>
      <c r="H31" s="114">
        <f>(Gal ToQt)*$B31/H$25</f>
        <v>40</v>
      </c>
      <c r="I31" s="114">
        <f>(Gal ToQt)*$B31/I$25</f>
        <v>20</v>
      </c>
      <c r="J31" s="114">
        <f>(Gal ToQt)*$B31/J$25</f>
        <v>13.333333333333334</v>
      </c>
      <c r="K31" s="78">
        <f>(Gal ToGal)*$B31/K$25</f>
        <v>10</v>
      </c>
      <c r="L31" s="78">
        <f>(Gal ToGal)*$B31/L$25</f>
        <v>2</v>
      </c>
      <c r="M31" s="80"/>
    </row>
    <row r="32" spans="1:13" ht="13.5" thickBot="1">
      <c r="A32" s="507"/>
      <c r="B32" s="63">
        <v>15</v>
      </c>
      <c r="C32" s="64">
        <f>(Gal ToFloz)*$B32/C$25</f>
        <v>160</v>
      </c>
      <c r="D32" s="65">
        <f>(Gal ToFloz)*$B32/D$25</f>
        <v>120</v>
      </c>
      <c r="E32" s="65">
        <f>(Gal ToFloz)*$B32/E$25</f>
        <v>96</v>
      </c>
      <c r="F32" s="66">
        <f>(Gal ToFloz)*$B32/F$25</f>
        <v>87.27272727272727</v>
      </c>
      <c r="G32" s="114">
        <f>(Gal TomL)*$B32/G$25</f>
        <v>75.708236</v>
      </c>
      <c r="H32" s="115">
        <f>(Gal ToQt)*$B32/H$25</f>
        <v>60</v>
      </c>
      <c r="I32" s="115">
        <f>(Gal ToQt)*$B32/I$25</f>
        <v>30</v>
      </c>
      <c r="J32" s="115">
        <f>(Gal ToQt)*$B32/J$25</f>
        <v>20</v>
      </c>
      <c r="K32" s="79">
        <f>(Gal ToGal)*$B32/K$25</f>
        <v>15</v>
      </c>
      <c r="L32" s="79">
        <f>(Gal ToGal)*$B32/L$25</f>
        <v>3</v>
      </c>
      <c r="M32" s="435"/>
    </row>
    <row r="33" spans="2:12" s="31" customFormat="1" ht="12.75">
      <c r="B33" s="72" t="s">
        <v>120</v>
      </c>
      <c r="C33" s="70">
        <f>C34*(Floz ToTsp)</f>
        <v>4.5</v>
      </c>
      <c r="D33" s="69">
        <f>D34*(Floz ToTsp)</f>
        <v>6</v>
      </c>
      <c r="E33" s="69">
        <f>E34*(Floz ToTsp)</f>
        <v>7.5</v>
      </c>
      <c r="F33" s="69">
        <f>F34*(Floz ToTsp)</f>
        <v>9</v>
      </c>
      <c r="G33" s="311">
        <f>H33*0.75</f>
        <v>10.125</v>
      </c>
      <c r="H33" s="69">
        <f>H34*(Floz ToTsp)</f>
        <v>13.5</v>
      </c>
      <c r="I33" s="118">
        <f>I34*(Floz ToTsp)</f>
        <v>27</v>
      </c>
      <c r="J33" s="118">
        <f>J34*(Floz ToTsp)</f>
        <v>40.5</v>
      </c>
      <c r="K33" s="313">
        <f>K34*(Floz ToTsp)</f>
        <v>51.1030593</v>
      </c>
      <c r="L33" s="433">
        <f>L34*(Floz ToTsp)</f>
        <v>255.51529649999998</v>
      </c>
    </row>
    <row r="34" spans="2:12" s="31" customFormat="1" ht="12.75">
      <c r="B34" s="73" t="s">
        <v>119</v>
      </c>
      <c r="C34" s="116">
        <v>0.75</v>
      </c>
      <c r="D34" s="110">
        <v>1</v>
      </c>
      <c r="E34" s="50">
        <v>1.25</v>
      </c>
      <c r="F34" s="110">
        <v>1.5</v>
      </c>
      <c r="G34" s="67">
        <f>H34*0.75</f>
        <v>1.6875</v>
      </c>
      <c r="H34" s="110">
        <f>I34/2</f>
        <v>2.25</v>
      </c>
      <c r="I34" s="119">
        <v>4.5</v>
      </c>
      <c r="J34" s="119">
        <f>2.25*(Tbl ToTsp)</f>
        <v>6.75</v>
      </c>
      <c r="K34" s="314">
        <f>K25*H34*(Gal ToL)</f>
        <v>8.51717655</v>
      </c>
      <c r="L34" s="434">
        <f>L25*H34*(Gal ToL)</f>
        <v>42.585882749999996</v>
      </c>
    </row>
    <row r="35" spans="2:12" s="31" customFormat="1" ht="12.75">
      <c r="B35" s="73" t="s">
        <v>121</v>
      </c>
      <c r="C35" s="95">
        <f>C34*(Tsp ToTbl)</f>
        <v>0.25</v>
      </c>
      <c r="D35" s="67">
        <f>D34*(Tsp ToTbl)</f>
        <v>0.3333333333333333</v>
      </c>
      <c r="E35" s="67">
        <f>E34*(Tsp ToTbl)</f>
        <v>0.41666666666666663</v>
      </c>
      <c r="F35" s="33">
        <f>F34*(Tsp ToTbl)</f>
        <v>0.5</v>
      </c>
      <c r="G35" s="33">
        <f>G34*(Tsp ToTbl)</f>
        <v>0.5625</v>
      </c>
      <c r="H35" s="33">
        <f>H34*(Tsp ToTbl)</f>
        <v>0.75</v>
      </c>
      <c r="I35" s="120">
        <f>I34*(Tsp ToTbl)</f>
        <v>1.5</v>
      </c>
      <c r="J35" s="120">
        <f>J34*(Tsp ToTbl)</f>
        <v>2.25</v>
      </c>
      <c r="K35" s="314">
        <f>K34*(Tsp ToTbl)</f>
        <v>2.83905885</v>
      </c>
      <c r="L35" s="434">
        <f>L34*(Tsp ToTbl)</f>
        <v>14.195294249999998</v>
      </c>
    </row>
    <row r="36" spans="2:12" s="31" customFormat="1" ht="12.75">
      <c r="B36" s="73" t="s">
        <v>567</v>
      </c>
      <c r="C36" s="436">
        <f>C35*(Tbl ToCup)</f>
        <v>0.015625</v>
      </c>
      <c r="D36" s="437">
        <f>D35*(Tbl ToCup)</f>
        <v>0.020833333333333332</v>
      </c>
      <c r="E36" s="437">
        <f>E35*(Tbl ToCup)</f>
        <v>0.026041666666666664</v>
      </c>
      <c r="F36" s="437">
        <f>F35*(Tbl ToCup)</f>
        <v>0.03125</v>
      </c>
      <c r="G36" s="437">
        <f>G35*(Tbl ToCup)</f>
        <v>0.03515625</v>
      </c>
      <c r="H36" s="437">
        <f>H35*(Tbl ToCup)</f>
        <v>0.046875</v>
      </c>
      <c r="I36" s="438">
        <f>I35*(Tbl ToCup)</f>
        <v>0.09375</v>
      </c>
      <c r="J36" s="438">
        <f>J35*(Tbl ToCup)</f>
        <v>0.140625</v>
      </c>
      <c r="K36" s="438">
        <f>K35*(Tbl ToCup)</f>
        <v>0.177441178125</v>
      </c>
      <c r="L36" s="439">
        <f>L35*(Tbl ToCup)</f>
        <v>0.8872058906249999</v>
      </c>
    </row>
    <row r="37" spans="2:12" ht="12.75">
      <c r="B37" s="73" t="s">
        <v>111</v>
      </c>
      <c r="C37" s="95"/>
      <c r="D37" s="117" t="s">
        <v>122</v>
      </c>
      <c r="E37" s="33"/>
      <c r="F37" s="50" t="s">
        <v>123</v>
      </c>
      <c r="G37" s="50"/>
      <c r="H37" s="117" t="s">
        <v>124</v>
      </c>
      <c r="I37" s="33"/>
      <c r="J37" s="33"/>
      <c r="K37" s="78"/>
      <c r="L37" s="35"/>
    </row>
    <row r="38" spans="2:13" ht="13.5" thickBot="1">
      <c r="B38" s="74" t="s">
        <v>15</v>
      </c>
      <c r="C38" s="71" t="s">
        <v>126</v>
      </c>
      <c r="D38" s="36" t="s">
        <v>109</v>
      </c>
      <c r="E38" s="36"/>
      <c r="F38" s="36"/>
      <c r="G38" s="36" t="s">
        <v>390</v>
      </c>
      <c r="H38" s="36" t="s">
        <v>108</v>
      </c>
      <c r="I38" s="36"/>
      <c r="J38" s="36"/>
      <c r="K38" s="432" t="s">
        <v>125</v>
      </c>
      <c r="L38" s="37" t="s">
        <v>504</v>
      </c>
      <c r="M38" s="94"/>
    </row>
  </sheetData>
  <mergeCells count="4">
    <mergeCell ref="A27:A32"/>
    <mergeCell ref="A14:A22"/>
    <mergeCell ref="C12:K12"/>
    <mergeCell ref="C24:L24"/>
  </mergeCells>
  <printOptions/>
  <pageMargins left="0.75" right="0.75" top="1" bottom="1" header="0.5" footer="0.5"/>
  <pageSetup fitToHeight="1" fitToWidth="1" horizontalDpi="300" verticalDpi="300" orientation="landscape" scale="88" r:id="rId1"/>
  <headerFooter alignWithMargins="0">
    <oddHeader>&amp;C&amp;"Arial,Bold"&amp;14SStudley Brew: &amp;A</oddHeader>
    <oddFooter>&amp;L&amp;A&amp;RPrinted: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3"/>
  <sheetViews>
    <sheetView workbookViewId="0" topLeftCell="A1">
      <selection activeCell="I25" sqref="I25"/>
    </sheetView>
  </sheetViews>
  <sheetFormatPr defaultColWidth="9.140625" defaultRowHeight="12.75"/>
  <cols>
    <col min="1" max="1" width="19.140625" style="215" bestFit="1" customWidth="1"/>
    <col min="2" max="4" width="14.140625" style="215" customWidth="1"/>
    <col min="5" max="5" width="15.00390625" style="215" bestFit="1" customWidth="1"/>
    <col min="6" max="6" width="14.140625" style="215" customWidth="1"/>
    <col min="7" max="7" width="15.00390625" style="215" bestFit="1" customWidth="1"/>
    <col min="8" max="16384" width="14.140625" style="215" customWidth="1"/>
  </cols>
  <sheetData>
    <row r="1" spans="1:10" s="263" customFormat="1" ht="13.5" thickBot="1">
      <c r="A1" s="291" t="s">
        <v>372</v>
      </c>
      <c r="B1" s="276"/>
      <c r="C1" s="277"/>
      <c r="D1" s="277"/>
      <c r="E1" s="441"/>
      <c r="F1" s="278"/>
      <c r="G1" s="291" t="s">
        <v>373</v>
      </c>
      <c r="H1" s="292"/>
      <c r="I1" s="293"/>
      <c r="J1" s="294"/>
    </row>
    <row r="2" spans="7:10" ht="13.5" thickBot="1">
      <c r="G2" s="295"/>
      <c r="H2" s="295"/>
      <c r="I2" s="295"/>
      <c r="J2" s="295"/>
    </row>
    <row r="3" spans="1:10" ht="13.5" thickBot="1">
      <c r="A3" s="261" t="s">
        <v>245</v>
      </c>
      <c r="B3" s="267" t="s">
        <v>42</v>
      </c>
      <c r="C3" s="259" t="s">
        <v>164</v>
      </c>
      <c r="D3" s="259" t="s">
        <v>238</v>
      </c>
      <c r="E3" s="260" t="s">
        <v>253</v>
      </c>
      <c r="G3" s="292" t="s">
        <v>371</v>
      </c>
      <c r="H3" s="296" t="s">
        <v>42</v>
      </c>
      <c r="I3" s="297" t="s">
        <v>82</v>
      </c>
      <c r="J3" s="298" t="s">
        <v>254</v>
      </c>
    </row>
    <row r="4" spans="1:10" ht="13.5" thickBot="1">
      <c r="A4" s="302" t="s">
        <v>243</v>
      </c>
      <c r="B4" s="267"/>
      <c r="C4" s="259"/>
      <c r="D4" s="343"/>
      <c r="E4" s="260"/>
      <c r="G4" s="299" t="s">
        <v>2</v>
      </c>
      <c r="H4" s="328"/>
      <c r="I4" s="329"/>
      <c r="J4" s="330"/>
    </row>
    <row r="5" spans="1:10" ht="12.75">
      <c r="A5" s="299" t="s">
        <v>41</v>
      </c>
      <c r="B5" s="318"/>
      <c r="C5" s="319"/>
      <c r="D5" s="344"/>
      <c r="E5" s="320"/>
      <c r="G5" s="300" t="s">
        <v>3</v>
      </c>
      <c r="H5" s="331"/>
      <c r="I5" s="332"/>
      <c r="J5" s="333"/>
    </row>
    <row r="6" spans="1:10" ht="13.5" thickBot="1">
      <c r="A6" s="268" t="s">
        <v>83</v>
      </c>
      <c r="B6" s="321"/>
      <c r="C6" s="322"/>
      <c r="D6" s="345"/>
      <c r="E6" s="323"/>
      <c r="G6" s="301" t="s">
        <v>241</v>
      </c>
      <c r="H6" s="334"/>
      <c r="I6" s="335"/>
      <c r="J6" s="336"/>
    </row>
    <row r="7" spans="1:10" ht="13.5" thickBot="1">
      <c r="A7" s="269" t="s">
        <v>246</v>
      </c>
      <c r="B7" s="324"/>
      <c r="C7" s="325"/>
      <c r="D7" s="346"/>
      <c r="E7" s="326"/>
      <c r="G7" s="299" t="s">
        <v>239</v>
      </c>
      <c r="H7" s="328"/>
      <c r="I7" s="329"/>
      <c r="J7" s="330"/>
    </row>
    <row r="8" spans="1:10" ht="13.5" thickBot="1">
      <c r="A8" s="270" t="s">
        <v>15</v>
      </c>
      <c r="B8" s="318"/>
      <c r="C8" s="319"/>
      <c r="D8" s="344"/>
      <c r="E8" s="320"/>
      <c r="G8" s="301" t="s">
        <v>240</v>
      </c>
      <c r="H8" s="334"/>
      <c r="I8" s="335"/>
      <c r="J8" s="336"/>
    </row>
    <row r="9" spans="1:10" ht="13.5" thickBot="1">
      <c r="A9" s="269" t="s">
        <v>15</v>
      </c>
      <c r="B9" s="324"/>
      <c r="C9" s="325"/>
      <c r="D9" s="346"/>
      <c r="E9" s="326"/>
      <c r="G9" s="302" t="s">
        <v>7</v>
      </c>
      <c r="H9" s="296"/>
      <c r="I9" s="297"/>
      <c r="J9" s="337"/>
    </row>
    <row r="10" spans="2:10" ht="13.5" thickBot="1">
      <c r="B10" s="250"/>
      <c r="C10" s="250"/>
      <c r="D10" s="250"/>
      <c r="E10" s="250"/>
      <c r="G10" s="299" t="s">
        <v>169</v>
      </c>
      <c r="H10" s="328"/>
      <c r="I10" s="329"/>
      <c r="J10" s="338"/>
    </row>
    <row r="11" spans="1:10" ht="13.5" thickBot="1">
      <c r="A11" s="247" t="s">
        <v>248</v>
      </c>
      <c r="B11" s="267" t="s">
        <v>376</v>
      </c>
      <c r="C11" s="259" t="s">
        <v>237</v>
      </c>
      <c r="D11" s="259" t="s">
        <v>244</v>
      </c>
      <c r="E11" s="260" t="s">
        <v>238</v>
      </c>
      <c r="G11" s="301" t="s">
        <v>242</v>
      </c>
      <c r="H11" s="334"/>
      <c r="I11" s="335"/>
      <c r="J11" s="339"/>
    </row>
    <row r="12" spans="1:10" ht="13.5" thickBot="1">
      <c r="A12" s="304" t="s">
        <v>249</v>
      </c>
      <c r="B12" s="446"/>
      <c r="C12" s="447"/>
      <c r="D12" s="327"/>
      <c r="E12" s="347">
        <f>IF(D5&gt;0,D5,"")</f>
      </c>
      <c r="G12" s="302" t="s">
        <v>404</v>
      </c>
      <c r="H12" s="296"/>
      <c r="I12" s="297"/>
      <c r="J12" s="337"/>
    </row>
    <row r="13" spans="1:10" ht="12.75">
      <c r="A13" s="272" t="s">
        <v>250</v>
      </c>
      <c r="B13" s="448"/>
      <c r="C13" s="449"/>
      <c r="D13" s="322"/>
      <c r="E13" s="348">
        <f>IF(D6&gt;0,D6,"")</f>
      </c>
      <c r="G13" s="299" t="s">
        <v>189</v>
      </c>
      <c r="H13" s="328"/>
      <c r="I13" s="329"/>
      <c r="J13" s="338"/>
    </row>
    <row r="14" spans="1:10" ht="13.5" thickBot="1">
      <c r="A14" s="273" t="s">
        <v>374</v>
      </c>
      <c r="B14" s="450"/>
      <c r="C14" s="451"/>
      <c r="D14" s="325"/>
      <c r="E14" s="349">
        <f>IF(D8&gt;0,D8,"")</f>
      </c>
      <c r="G14" s="300" t="s">
        <v>189</v>
      </c>
      <c r="H14" s="331"/>
      <c r="I14" s="332"/>
      <c r="J14" s="340"/>
    </row>
    <row r="15" spans="7:10" ht="13.5" thickBot="1">
      <c r="G15" s="300" t="s">
        <v>189</v>
      </c>
      <c r="H15" s="331"/>
      <c r="I15" s="332"/>
      <c r="J15" s="333"/>
    </row>
    <row r="16" spans="2:10" ht="13.5" thickBot="1">
      <c r="B16" s="274" t="s">
        <v>376</v>
      </c>
      <c r="C16" s="275" t="s">
        <v>377</v>
      </c>
      <c r="G16" s="301" t="s">
        <v>189</v>
      </c>
      <c r="H16" s="334"/>
      <c r="I16" s="335"/>
      <c r="J16" s="336"/>
    </row>
    <row r="17" spans="1:5" ht="13.5" thickBot="1">
      <c r="A17" s="246" t="s">
        <v>159</v>
      </c>
      <c r="B17" s="366">
        <f>IF(B12&gt;0,IF(B14&gt;0,(B12-B14)/0.75,""),"")</f>
      </c>
      <c r="C17" s="367">
        <f>IF(C12&gt;0,IF(C14&gt;0,(C12-C14)/0.75,""),"")</f>
      </c>
      <c r="E17" s="282" t="s">
        <v>375</v>
      </c>
    </row>
    <row r="18" spans="1:10" ht="12.75">
      <c r="A18" s="266" t="s">
        <v>252</v>
      </c>
      <c r="B18" s="321"/>
      <c r="C18" s="323"/>
      <c r="E18" s="305" t="s">
        <v>370</v>
      </c>
      <c r="G18" s="303" t="s">
        <v>193</v>
      </c>
      <c r="H18" s="241"/>
      <c r="I18" s="241"/>
      <c r="J18" s="242"/>
    </row>
    <row r="19" spans="1:10" ht="12.75">
      <c r="A19" s="249" t="s">
        <v>251</v>
      </c>
      <c r="B19" s="321"/>
      <c r="C19" s="323"/>
      <c r="E19" s="272" t="s">
        <v>250</v>
      </c>
      <c r="G19" s="262"/>
      <c r="J19" s="271"/>
    </row>
    <row r="20" spans="1:10" ht="12.75">
      <c r="A20" s="307" t="s">
        <v>378</v>
      </c>
      <c r="B20" s="321"/>
      <c r="C20" s="323"/>
      <c r="E20" s="283" t="s">
        <v>374</v>
      </c>
      <c r="F20" s="225"/>
      <c r="G20" s="262"/>
      <c r="J20" s="271"/>
    </row>
    <row r="21" spans="1:10" ht="12.75">
      <c r="A21" s="307" t="s">
        <v>379</v>
      </c>
      <c r="B21" s="321"/>
      <c r="C21" s="323"/>
      <c r="E21" s="310" t="s">
        <v>387</v>
      </c>
      <c r="F21" s="225"/>
      <c r="G21" s="262"/>
      <c r="J21" s="271"/>
    </row>
    <row r="22" spans="1:10" ht="13.5" thickBot="1">
      <c r="A22" s="306" t="s">
        <v>380</v>
      </c>
      <c r="B22" s="341"/>
      <c r="C22" s="342"/>
      <c r="E22" s="284" t="s">
        <v>386</v>
      </c>
      <c r="F22" s="225"/>
      <c r="G22" s="262"/>
      <c r="J22" s="271"/>
    </row>
    <row r="23" spans="1:10" ht="12.75">
      <c r="A23" s="307" t="s">
        <v>382</v>
      </c>
      <c r="B23" s="321"/>
      <c r="C23" s="323"/>
      <c r="G23" s="262"/>
      <c r="J23" s="271"/>
    </row>
    <row r="24" spans="1:10" ht="12.75">
      <c r="A24" s="307" t="s">
        <v>383</v>
      </c>
      <c r="B24" s="321"/>
      <c r="C24" s="323"/>
      <c r="G24" s="262"/>
      <c r="J24" s="271"/>
    </row>
    <row r="25" spans="1:10" ht="12.75">
      <c r="A25" s="306" t="s">
        <v>381</v>
      </c>
      <c r="B25" s="341"/>
      <c r="C25" s="342"/>
      <c r="G25" s="262"/>
      <c r="J25" s="271"/>
    </row>
    <row r="26" spans="1:10" ht="12.75">
      <c r="A26" s="306" t="s">
        <v>384</v>
      </c>
      <c r="B26" s="341"/>
      <c r="C26" s="342"/>
      <c r="G26" s="262"/>
      <c r="J26" s="271"/>
    </row>
    <row r="27" spans="1:10" ht="12.75">
      <c r="A27" s="306" t="s">
        <v>384</v>
      </c>
      <c r="B27" s="341"/>
      <c r="C27" s="342"/>
      <c r="G27" s="262"/>
      <c r="J27" s="271"/>
    </row>
    <row r="28" spans="1:10" ht="12.75">
      <c r="A28" s="307" t="s">
        <v>384</v>
      </c>
      <c r="B28" s="321"/>
      <c r="C28" s="323"/>
      <c r="G28" s="262"/>
      <c r="J28" s="271"/>
    </row>
    <row r="29" spans="1:10" ht="13.5" thickBot="1">
      <c r="A29" s="308" t="s">
        <v>385</v>
      </c>
      <c r="B29" s="324"/>
      <c r="C29" s="326"/>
      <c r="G29" s="262"/>
      <c r="J29" s="271"/>
    </row>
    <row r="30" spans="7:10" ht="13.5" thickBot="1">
      <c r="G30" s="243"/>
      <c r="H30" s="244"/>
      <c r="I30" s="244"/>
      <c r="J30" s="245"/>
    </row>
    <row r="31" ht="13.5" thickBot="1"/>
    <row r="32" spans="1:10" ht="12.75">
      <c r="A32" s="279" t="s">
        <v>17</v>
      </c>
      <c r="B32" s="289" t="s">
        <v>388</v>
      </c>
      <c r="C32" s="285">
        <v>1</v>
      </c>
      <c r="D32" s="251">
        <v>2</v>
      </c>
      <c r="E32" s="251">
        <v>3</v>
      </c>
      <c r="F32" s="251">
        <v>4</v>
      </c>
      <c r="G32" s="251">
        <v>5</v>
      </c>
      <c r="H32" s="251">
        <v>6</v>
      </c>
      <c r="I32" s="251">
        <v>7</v>
      </c>
      <c r="J32" s="252">
        <v>8</v>
      </c>
    </row>
    <row r="33" spans="1:10" ht="13.5" thickBot="1">
      <c r="A33" s="264" t="s">
        <v>88</v>
      </c>
      <c r="B33" s="290"/>
      <c r="C33" s="286"/>
      <c r="D33" s="253"/>
      <c r="E33" s="253"/>
      <c r="F33" s="253"/>
      <c r="G33" s="253"/>
      <c r="H33" s="253"/>
      <c r="I33" s="253"/>
      <c r="J33" s="254"/>
    </row>
    <row r="34" spans="1:10" ht="12.75">
      <c r="A34" s="265" t="s">
        <v>247</v>
      </c>
      <c r="B34" s="238"/>
      <c r="C34" s="287"/>
      <c r="D34" s="255"/>
      <c r="E34" s="255"/>
      <c r="F34" s="255"/>
      <c r="G34" s="255"/>
      <c r="H34" s="255"/>
      <c r="I34" s="255"/>
      <c r="J34" s="256"/>
    </row>
    <row r="35" spans="1:10" ht="13.5" thickBot="1">
      <c r="A35" s="264" t="s">
        <v>84</v>
      </c>
      <c r="B35" s="248"/>
      <c r="C35" s="288"/>
      <c r="D35" s="257"/>
      <c r="E35" s="257"/>
      <c r="F35" s="257"/>
      <c r="G35" s="257"/>
      <c r="H35" s="257"/>
      <c r="I35" s="257"/>
      <c r="J35" s="258"/>
    </row>
    <row r="36" spans="1:10" ht="12.75">
      <c r="A36" s="265" t="s">
        <v>87</v>
      </c>
      <c r="B36" s="238"/>
      <c r="C36" s="287"/>
      <c r="D36" s="255"/>
      <c r="E36" s="255"/>
      <c r="F36" s="255"/>
      <c r="G36" s="255"/>
      <c r="H36" s="255"/>
      <c r="I36" s="255"/>
      <c r="J36" s="256"/>
    </row>
    <row r="37" spans="1:10" ht="13.5" thickBot="1">
      <c r="A37" s="264" t="s">
        <v>85</v>
      </c>
      <c r="B37" s="240"/>
      <c r="C37" s="286"/>
      <c r="D37" s="253"/>
      <c r="E37" s="253"/>
      <c r="F37" s="253"/>
      <c r="G37" s="253"/>
      <c r="H37" s="253"/>
      <c r="I37" s="253"/>
      <c r="J37" s="254"/>
    </row>
    <row r="38" spans="1:10" ht="12.75">
      <c r="A38" s="280" t="s">
        <v>5</v>
      </c>
      <c r="B38" s="350">
        <f>IF(D8&gt;0,D8,"")</f>
      </c>
      <c r="C38" s="351"/>
      <c r="D38" s="352"/>
      <c r="E38" s="352"/>
      <c r="F38" s="352"/>
      <c r="G38" s="352"/>
      <c r="H38" s="352"/>
      <c r="I38" s="352"/>
      <c r="J38" s="353"/>
    </row>
    <row r="39" spans="1:10" ht="13.5" thickBot="1">
      <c r="A39" s="264" t="s">
        <v>405</v>
      </c>
      <c r="B39" s="354"/>
      <c r="C39" s="355"/>
      <c r="D39" s="356"/>
      <c r="E39" s="356"/>
      <c r="F39" s="356"/>
      <c r="G39" s="356"/>
      <c r="H39" s="356"/>
      <c r="I39" s="356"/>
      <c r="J39" s="357"/>
    </row>
    <row r="40" spans="1:10" ht="12.75">
      <c r="A40" s="309" t="s">
        <v>8</v>
      </c>
      <c r="B40" s="358"/>
      <c r="C40" s="359"/>
      <c r="D40" s="360"/>
      <c r="E40" s="360"/>
      <c r="F40" s="360"/>
      <c r="G40" s="360"/>
      <c r="H40" s="360"/>
      <c r="I40" s="360"/>
      <c r="J40" s="361"/>
    </row>
    <row r="41" spans="1:10" ht="13.5" thickBot="1">
      <c r="A41" s="281" t="s">
        <v>9</v>
      </c>
      <c r="B41" s="362"/>
      <c r="C41" s="363"/>
      <c r="D41" s="364"/>
      <c r="E41" s="364"/>
      <c r="F41" s="364"/>
      <c r="G41" s="364"/>
      <c r="H41" s="364"/>
      <c r="I41" s="364"/>
      <c r="J41" s="365"/>
    </row>
    <row r="42" spans="1:10" ht="12.75">
      <c r="A42" s="237"/>
      <c r="B42" s="238"/>
      <c r="C42" s="287"/>
      <c r="D42" s="255"/>
      <c r="E42" s="255"/>
      <c r="F42" s="255"/>
      <c r="G42" s="255"/>
      <c r="H42" s="255"/>
      <c r="I42" s="255"/>
      <c r="J42" s="256"/>
    </row>
    <row r="43" spans="1:10" ht="13.5" thickBot="1">
      <c r="A43" s="239"/>
      <c r="B43" s="240"/>
      <c r="C43" s="286"/>
      <c r="D43" s="253"/>
      <c r="E43" s="253"/>
      <c r="F43" s="253"/>
      <c r="G43" s="253"/>
      <c r="H43" s="253"/>
      <c r="I43" s="253"/>
      <c r="J43" s="254"/>
    </row>
  </sheetData>
  <printOptions/>
  <pageMargins left="0.75" right="0.75" top="1" bottom="1" header="0.5" footer="0.5"/>
  <pageSetup fitToHeight="1" fitToWidth="1" horizontalDpi="1200" verticalDpi="1200" orientation="landscape" scale="83" r:id="rId1"/>
  <headerFooter alignWithMargins="0">
    <oddHeader>&amp;C&amp;"Arial,Bold"&amp;14&amp;A</oddHeader>
    <oddFooter>&amp;L&amp;F:&amp;A&amp;RPrinted: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 </cp:lastModifiedBy>
  <cp:lastPrinted>2005-11-23T06:39:12Z</cp:lastPrinted>
  <dcterms:created xsi:type="dcterms:W3CDTF">2005-04-06T04:42:39Z</dcterms:created>
  <dcterms:modified xsi:type="dcterms:W3CDTF">2006-01-20T06:34:43Z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